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ohann\Downloads\"/>
    </mc:Choice>
  </mc:AlternateContent>
  <xr:revisionPtr revIDLastSave="0" documentId="13_ncr:1_{65674A33-C67F-4307-9B28-B1FA4D7F93DF}" xr6:coauthVersionLast="47" xr6:coauthVersionMax="47" xr10:uidLastSave="{00000000-0000-0000-0000-000000000000}"/>
  <bookViews>
    <workbookView xWindow="2175" yWindow="285" windowWidth="15375" windowHeight="9810" xr2:uid="{7A8756F6-E478-4E4C-83CA-AC3728ACCA49}"/>
  </bookViews>
  <sheets>
    <sheet name="1_Simulation produit communal" sheetId="1" r:id="rId1"/>
    <sheet name="2_Synthese" sheetId="5" r:id="rId2"/>
    <sheet name="3_Simulation sur contribuable" sheetId="6" r:id="rId3"/>
    <sheet name="Taux départementaux" sheetId="2" state="hidden" r:id="rId4"/>
    <sheet name="Taux nationaux"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8" i="1" l="1"/>
  <c r="C57" i="1"/>
  <c r="C55" i="1"/>
  <c r="C54" i="1"/>
  <c r="C53" i="1"/>
  <c r="A19" i="6"/>
  <c r="A32" i="6"/>
  <c r="G43" i="6"/>
  <c r="D43" i="6"/>
  <c r="E43" i="6"/>
  <c r="F43" i="6"/>
  <c r="B43" i="6"/>
  <c r="C43" i="6"/>
  <c r="B42" i="6"/>
  <c r="E14" i="6"/>
  <c r="D14" i="6"/>
  <c r="F14" i="6"/>
  <c r="A1" i="6"/>
  <c r="A3" i="5"/>
  <c r="A4" i="5"/>
  <c r="A2" i="5"/>
  <c r="A61" i="1"/>
  <c r="A45" i="1"/>
  <c r="A34" i="1"/>
  <c r="A27" i="1"/>
  <c r="A12" i="1"/>
  <c r="A91" i="1"/>
  <c r="D58" i="1"/>
  <c r="D17" i="1"/>
  <c r="G17" i="1"/>
  <c r="D79" i="1"/>
  <c r="C40" i="6" s="1"/>
  <c r="C79" i="1"/>
  <c r="B40" i="6" s="1"/>
  <c r="A55" i="1"/>
  <c r="A54" i="1"/>
  <c r="A53" i="1"/>
  <c r="I16" i="1"/>
  <c r="I15" i="1"/>
  <c r="I14" i="1"/>
  <c r="H16" i="1"/>
  <c r="H15" i="1"/>
  <c r="H14" i="1"/>
  <c r="C8" i="6"/>
  <c r="C9" i="6"/>
  <c r="C10" i="6"/>
  <c r="C7" i="6"/>
  <c r="F52" i="6"/>
  <c r="D78" i="1"/>
  <c r="E79" i="1"/>
  <c r="D40" i="6" s="1"/>
  <c r="E78" i="1" l="1"/>
  <c r="D80" i="1"/>
  <c r="D83" i="1" s="1"/>
  <c r="C80" i="1"/>
  <c r="F79" i="1"/>
  <c r="E40" i="6" s="1"/>
  <c r="G79" i="1"/>
  <c r="F40" i="6" s="1"/>
  <c r="H79" i="1"/>
  <c r="G40" i="6" s="1"/>
  <c r="C83" i="1" l="1"/>
  <c r="B11" i="5" s="1"/>
  <c r="C11" i="5"/>
  <c r="C12" i="5" s="1"/>
  <c r="F78" i="1"/>
  <c r="G78" i="1" s="1"/>
  <c r="H78" i="1" s="1"/>
  <c r="E80" i="1"/>
  <c r="C71" i="1"/>
  <c r="C67" i="1"/>
  <c r="C86" i="1"/>
  <c r="B13" i="5" s="1"/>
  <c r="B83" i="1"/>
  <c r="B82" i="1"/>
  <c r="B76" i="1"/>
  <c r="B75" i="1"/>
  <c r="C72" i="1"/>
  <c r="C68" i="1"/>
  <c r="C64" i="1"/>
  <c r="G16" i="1"/>
  <c r="C69" i="1"/>
  <c r="B7" i="5" s="1"/>
  <c r="C63" i="1"/>
  <c r="B7" i="1"/>
  <c r="J16" i="1" s="1"/>
  <c r="D16" i="1"/>
  <c r="D15" i="1"/>
  <c r="D14" i="1"/>
  <c r="E16" i="1" l="1"/>
  <c r="D105" i="1"/>
  <c r="D64" i="1"/>
  <c r="C37" i="6" s="1"/>
  <c r="B37" i="6"/>
  <c r="D68" i="1"/>
  <c r="C38" i="6" s="1"/>
  <c r="B38" i="6"/>
  <c r="B39" i="6"/>
  <c r="D72" i="1"/>
  <c r="D95" i="1" s="1"/>
  <c r="E83" i="1"/>
  <c r="D11" i="5" s="1"/>
  <c r="D12" i="5" s="1"/>
  <c r="C97" i="1"/>
  <c r="D67" i="1"/>
  <c r="D71" i="1"/>
  <c r="F80" i="1"/>
  <c r="C73" i="1"/>
  <c r="C65" i="1"/>
  <c r="B24" i="6" l="1"/>
  <c r="C39" i="6"/>
  <c r="C24" i="6" s="1"/>
  <c r="E72" i="1"/>
  <c r="C76" i="1"/>
  <c r="F83" i="1"/>
  <c r="E11" i="5" s="1"/>
  <c r="E12" i="5" s="1"/>
  <c r="D73" i="1"/>
  <c r="D76" i="1" s="1"/>
  <c r="E71" i="1"/>
  <c r="D69" i="1"/>
  <c r="E68" i="1"/>
  <c r="D38" i="6" s="1"/>
  <c r="D94" i="1"/>
  <c r="E64" i="1"/>
  <c r="D63" i="1"/>
  <c r="D86" i="1" s="1"/>
  <c r="C13" i="5" s="1"/>
  <c r="C14" i="5" s="1"/>
  <c r="D93" i="1"/>
  <c r="D97" i="1"/>
  <c r="D98" i="1" s="1"/>
  <c r="B5" i="5"/>
  <c r="E94" i="1"/>
  <c r="E93" i="1"/>
  <c r="E100" i="1" s="1"/>
  <c r="G80" i="1"/>
  <c r="C9" i="5"/>
  <c r="B23" i="6" l="1"/>
  <c r="D103" i="1"/>
  <c r="F64" i="1"/>
  <c r="E37" i="6" s="1"/>
  <c r="D37" i="6"/>
  <c r="F72" i="1"/>
  <c r="D39" i="6"/>
  <c r="G83" i="1"/>
  <c r="F11" i="5" s="1"/>
  <c r="F12" i="5" s="1"/>
  <c r="F68" i="1"/>
  <c r="E38" i="6" s="1"/>
  <c r="C88" i="1"/>
  <c r="B9" i="5"/>
  <c r="B15" i="5" s="1"/>
  <c r="D100" i="1"/>
  <c r="D65" i="1"/>
  <c r="E63" i="1"/>
  <c r="E86" i="1" s="1"/>
  <c r="D13" i="5" s="1"/>
  <c r="D14" i="5" s="1"/>
  <c r="G68" i="1"/>
  <c r="F38" i="6" s="1"/>
  <c r="E67" i="1"/>
  <c r="E73" i="1"/>
  <c r="E76" i="1" s="1"/>
  <c r="F71" i="1"/>
  <c r="C7" i="5"/>
  <c r="C8" i="5" s="1"/>
  <c r="E95" i="1"/>
  <c r="F93" i="1"/>
  <c r="F94" i="1"/>
  <c r="H80" i="1"/>
  <c r="D9" i="5"/>
  <c r="D10" i="5" s="1"/>
  <c r="B25" i="6" l="1"/>
  <c r="B27" i="6" s="1"/>
  <c r="C23" i="6"/>
  <c r="B31" i="6"/>
  <c r="B32" i="6" s="1"/>
  <c r="B19" i="6"/>
  <c r="B20" i="6" s="1"/>
  <c r="D24" i="6"/>
  <c r="E39" i="6"/>
  <c r="E24" i="6" s="1"/>
  <c r="G72" i="1"/>
  <c r="H83" i="1"/>
  <c r="G11" i="5" s="1"/>
  <c r="H68" i="1"/>
  <c r="G38" i="6" s="1"/>
  <c r="D108" i="1"/>
  <c r="C10" i="5"/>
  <c r="F100" i="1"/>
  <c r="F73" i="1"/>
  <c r="F76" i="1" s="1"/>
  <c r="G71" i="1"/>
  <c r="F67" i="1"/>
  <c r="E69" i="1"/>
  <c r="D7" i="5" s="1"/>
  <c r="G64" i="1"/>
  <c r="F37" i="6" s="1"/>
  <c r="E65" i="1"/>
  <c r="F63" i="1"/>
  <c r="F86" i="1" s="1"/>
  <c r="E13" i="5" s="1"/>
  <c r="E14" i="5" s="1"/>
  <c r="E97" i="1"/>
  <c r="E98" i="1" s="1"/>
  <c r="D88" i="1"/>
  <c r="D89" i="1" s="1"/>
  <c r="C5" i="5"/>
  <c r="C15" i="5" s="1"/>
  <c r="D8" i="5"/>
  <c r="F97" i="1"/>
  <c r="F98" i="1" s="1"/>
  <c r="G94" i="1"/>
  <c r="F95" i="1"/>
  <c r="E9" i="5"/>
  <c r="E10" i="5" s="1"/>
  <c r="D23" i="6" l="1"/>
  <c r="C31" i="6"/>
  <c r="C32" i="6" s="1"/>
  <c r="C25" i="6"/>
  <c r="C27" i="6" s="1"/>
  <c r="B33" i="6"/>
  <c r="B34" i="6" s="1"/>
  <c r="C19" i="6"/>
  <c r="C20" i="6" s="1"/>
  <c r="F101" i="1"/>
  <c r="E103" i="1"/>
  <c r="F39" i="6"/>
  <c r="F24" i="6" s="1"/>
  <c r="H72" i="1"/>
  <c r="G95" i="1"/>
  <c r="C6" i="5"/>
  <c r="G12" i="5"/>
  <c r="H11" i="5"/>
  <c r="H12" i="5" s="1"/>
  <c r="G93" i="1"/>
  <c r="G100" i="1"/>
  <c r="C17" i="5"/>
  <c r="C16" i="5"/>
  <c r="F103" i="1"/>
  <c r="F65" i="1"/>
  <c r="G63" i="1"/>
  <c r="G86" i="1" s="1"/>
  <c r="F13" i="5" s="1"/>
  <c r="F14" i="5" s="1"/>
  <c r="E88" i="1"/>
  <c r="E89" i="1" s="1"/>
  <c r="D5" i="5"/>
  <c r="D15" i="5" s="1"/>
  <c r="H64" i="1"/>
  <c r="G67" i="1"/>
  <c r="F69" i="1"/>
  <c r="G73" i="1"/>
  <c r="G76" i="1" s="1"/>
  <c r="H71" i="1"/>
  <c r="H73" i="1" s="1"/>
  <c r="H76" i="1" s="1"/>
  <c r="G97" i="1"/>
  <c r="G98" i="1" s="1"/>
  <c r="E7" i="5"/>
  <c r="E8" i="5" s="1"/>
  <c r="H94" i="1"/>
  <c r="F9" i="5"/>
  <c r="F10" i="5" s="1"/>
  <c r="D25" i="6" l="1"/>
  <c r="D27" i="6" s="1"/>
  <c r="C33" i="6"/>
  <c r="C34" i="6" s="1"/>
  <c r="C35" i="6" s="1"/>
  <c r="E23" i="6"/>
  <c r="D31" i="6"/>
  <c r="D32" i="6" s="1"/>
  <c r="D19" i="6"/>
  <c r="D20" i="6" s="1"/>
  <c r="D107" i="1"/>
  <c r="G37" i="6"/>
  <c r="G39" i="6"/>
  <c r="H95" i="1"/>
  <c r="D109" i="1"/>
  <c r="G103" i="1"/>
  <c r="G101" i="1"/>
  <c r="H93" i="1"/>
  <c r="H100" i="1" s="1"/>
  <c r="H67" i="1"/>
  <c r="H69" i="1" s="1"/>
  <c r="G7" i="5" s="1"/>
  <c r="H7" i="5" s="1"/>
  <c r="H8" i="5" s="1"/>
  <c r="G69" i="1"/>
  <c r="F7" i="5" s="1"/>
  <c r="D6" i="5"/>
  <c r="G65" i="1"/>
  <c r="H63" i="1"/>
  <c r="H86" i="1" s="1"/>
  <c r="G13" i="5" s="1"/>
  <c r="F88" i="1"/>
  <c r="F89" i="1" s="1"/>
  <c r="E5" i="5"/>
  <c r="E15" i="5" s="1"/>
  <c r="F8" i="5"/>
  <c r="G8" i="5"/>
  <c r="H97" i="1"/>
  <c r="H98" i="1" s="1"/>
  <c r="G9" i="5"/>
  <c r="E31" i="6" l="1"/>
  <c r="E32" i="6" s="1"/>
  <c r="F23" i="6"/>
  <c r="E25" i="6"/>
  <c r="E27" i="6" s="1"/>
  <c r="D33" i="6"/>
  <c r="D34" i="6" s="1"/>
  <c r="D35" i="6" s="1"/>
  <c r="E19" i="6"/>
  <c r="E20" i="6" s="1"/>
  <c r="G24" i="6"/>
  <c r="G14" i="5"/>
  <c r="H13" i="5"/>
  <c r="H14" i="5" s="1"/>
  <c r="E6" i="5"/>
  <c r="G10" i="5"/>
  <c r="H9" i="5"/>
  <c r="H10" i="5" s="1"/>
  <c r="E17" i="5"/>
  <c r="E16" i="5"/>
  <c r="D17" i="5"/>
  <c r="D16" i="5"/>
  <c r="H103" i="1"/>
  <c r="H101" i="1"/>
  <c r="H65" i="1"/>
  <c r="G88" i="1"/>
  <c r="G89" i="1" s="1"/>
  <c r="F5" i="5"/>
  <c r="F15" i="5" s="1"/>
  <c r="F25" i="6" l="1"/>
  <c r="F27" i="6" s="1"/>
  <c r="E33" i="6"/>
  <c r="E34" i="6" s="1"/>
  <c r="E35" i="6" s="1"/>
  <c r="F31" i="6"/>
  <c r="F32" i="6" s="1"/>
  <c r="G23" i="6"/>
  <c r="H23" i="6" s="1"/>
  <c r="H24" i="6"/>
  <c r="G31" i="6"/>
  <c r="F19" i="6"/>
  <c r="F20" i="6" s="1"/>
  <c r="H31" i="6"/>
  <c r="F6" i="5"/>
  <c r="H88" i="1"/>
  <c r="H89" i="1" s="1"/>
  <c r="G5" i="5"/>
  <c r="G15" i="5" s="1"/>
  <c r="G25" i="6" l="1"/>
  <c r="G27" i="6" s="1"/>
  <c r="F33" i="6"/>
  <c r="F34" i="6" s="1"/>
  <c r="F35" i="6" s="1"/>
  <c r="G32" i="6"/>
  <c r="H32" i="6" s="1"/>
  <c r="H5" i="5"/>
  <c r="H6" i="5" s="1"/>
  <c r="F17" i="5"/>
  <c r="F16" i="5"/>
  <c r="G6" i="5"/>
  <c r="H27" i="6" l="1"/>
  <c r="G33" i="6"/>
  <c r="H33" i="6" s="1"/>
  <c r="G34" i="6"/>
  <c r="G19" i="6"/>
  <c r="G20" i="6" s="1"/>
  <c r="H19" i="6" s="1"/>
  <c r="G35" i="6"/>
  <c r="H34" i="6"/>
  <c r="G16" i="5"/>
  <c r="H15" i="5"/>
  <c r="H16" i="5" s="1"/>
  <c r="G17" i="5"/>
</calcChain>
</file>

<file path=xl/sharedStrings.xml><?xml version="1.0" encoding="utf-8"?>
<sst xmlns="http://schemas.openxmlformats.org/spreadsheetml/2006/main" count="294" uniqueCount="237">
  <si>
    <t xml:space="preserve">Commune </t>
  </si>
  <si>
    <t xml:space="preserve">Département </t>
  </si>
  <si>
    <t>Code-Nom Département</t>
  </si>
  <si>
    <t>TH Taux moyens</t>
  </si>
  <si>
    <t>TH Taux plafonds</t>
  </si>
  <si>
    <t>TFPB Taux moyens</t>
  </si>
  <si>
    <t>TFPB Taux plafonds</t>
  </si>
  <si>
    <t>TFPNB Taux moyens</t>
  </si>
  <si>
    <t>TFPNB Taux plafonds</t>
  </si>
  <si>
    <t>CFE Taux moyens</t>
  </si>
  <si>
    <t>TH (majoration spéciale) Taux moyen</t>
  </si>
  <si>
    <t>TH (majoration spéciale) Fraction 10%</t>
  </si>
  <si>
    <t>01-AIN</t>
  </si>
  <si>
    <t>02-AISNE</t>
  </si>
  <si>
    <t>03-ALLIER</t>
  </si>
  <si>
    <t>04-ALPES-DE HTE PROVENCE</t>
  </si>
  <si>
    <t>05-ALPES (HAUTES-)</t>
  </si>
  <si>
    <t>06-ALPES-MARITIMES</t>
  </si>
  <si>
    <t>07-ARDECHE</t>
  </si>
  <si>
    <t>08-ARDENNES</t>
  </si>
  <si>
    <t>09-ARIEGE</t>
  </si>
  <si>
    <t>10-AUBE</t>
  </si>
  <si>
    <t>11-AUDE</t>
  </si>
  <si>
    <t>12-AVEYRON</t>
  </si>
  <si>
    <t>13-BOUCHES-DU-RHONE</t>
  </si>
  <si>
    <t>14-CALVADOS</t>
  </si>
  <si>
    <t>15-CANTAL</t>
  </si>
  <si>
    <t>16-CHARENTE</t>
  </si>
  <si>
    <t>17-CHARENTE-MARITIME</t>
  </si>
  <si>
    <t>18-CHER</t>
  </si>
  <si>
    <t>19-CORREZE</t>
  </si>
  <si>
    <t>2A-CORSE-DU-SUD</t>
  </si>
  <si>
    <t>2B-HAUTE-CORSE</t>
  </si>
  <si>
    <t>21-COTE-D'OR</t>
  </si>
  <si>
    <t>22-COTES-D'ARMOR</t>
  </si>
  <si>
    <t>23-CREUSE</t>
  </si>
  <si>
    <t>24-DORDOGNE</t>
  </si>
  <si>
    <t>25-DOUBS</t>
  </si>
  <si>
    <t>26-DROME</t>
  </si>
  <si>
    <t>27-EURE</t>
  </si>
  <si>
    <t>28-EURE-ET-LOIR</t>
  </si>
  <si>
    <t>29-FINISTERE</t>
  </si>
  <si>
    <t>30-GARD</t>
  </si>
  <si>
    <t>31-GARONNE (HAUTE-)</t>
  </si>
  <si>
    <t>32-GERS</t>
  </si>
  <si>
    <t>33-GIRONDE</t>
  </si>
  <si>
    <t>34-HERAULT</t>
  </si>
  <si>
    <t>35-ILLE-ET-VILAINE</t>
  </si>
  <si>
    <t>36-INDRE</t>
  </si>
  <si>
    <t>37-INDRE-ET-LOIRE</t>
  </si>
  <si>
    <t>38-ISERE</t>
  </si>
  <si>
    <t>39-JURA</t>
  </si>
  <si>
    <t>40-LANDES</t>
  </si>
  <si>
    <t>41-LOIR-ET-CHER</t>
  </si>
  <si>
    <t>42-LOIRE</t>
  </si>
  <si>
    <t>43-LOIRE (HAUTE-)</t>
  </si>
  <si>
    <t>44-LOIRE-ATLANTIQUE</t>
  </si>
  <si>
    <t>45-LOIRET</t>
  </si>
  <si>
    <t>46-LOT</t>
  </si>
  <si>
    <t>47-LOT-ET-GARONNE</t>
  </si>
  <si>
    <t>48-LOZERE</t>
  </si>
  <si>
    <t>49-MAINE-ET-LOIRE</t>
  </si>
  <si>
    <t>50-MANCHE</t>
  </si>
  <si>
    <t>51-MARNE</t>
  </si>
  <si>
    <t>52-MARNE (HAUTE-)</t>
  </si>
  <si>
    <t>53-MAYENNE</t>
  </si>
  <si>
    <t>54-MEURTHE-ET-MOSELLE</t>
  </si>
  <si>
    <t>55-MEUSE</t>
  </si>
  <si>
    <t>56-MORBIHAN</t>
  </si>
  <si>
    <t>57-MOSELLE</t>
  </si>
  <si>
    <t>58-NIEVRE</t>
  </si>
  <si>
    <t>59-NORD</t>
  </si>
  <si>
    <t>60-OISE</t>
  </si>
  <si>
    <t>61-ORNE</t>
  </si>
  <si>
    <t>62-PAS-DE-CALAIS</t>
  </si>
  <si>
    <t>63-PUY-DE-DOME</t>
  </si>
  <si>
    <t>64-PYRENEES-ATLANTIQUES</t>
  </si>
  <si>
    <t>65-PYRENEES (HAUTES-)</t>
  </si>
  <si>
    <t>66-PYRENEES-ORIENTALES</t>
  </si>
  <si>
    <t>67-BAS-RHIN</t>
  </si>
  <si>
    <t>68-HAUT-RHIN</t>
  </si>
  <si>
    <t>69-RHONE</t>
  </si>
  <si>
    <t>70-SAONE (HAUTE-)</t>
  </si>
  <si>
    <t>71-SAONE-ET-LOIRE</t>
  </si>
  <si>
    <t>72-SARTHE</t>
  </si>
  <si>
    <t>73-SAVOIE</t>
  </si>
  <si>
    <t>74-SAVOIE (HAUTE-)</t>
  </si>
  <si>
    <t>76-SEINE-MARITIME</t>
  </si>
  <si>
    <t>79-DEUX-SEVRES</t>
  </si>
  <si>
    <t>80-SOMME</t>
  </si>
  <si>
    <t>81-TARN</t>
  </si>
  <si>
    <t>82-TARN-ET-GARONNE</t>
  </si>
  <si>
    <t>83-VAR</t>
  </si>
  <si>
    <t>84-VAUCLUSE</t>
  </si>
  <si>
    <t>85-VENDEE</t>
  </si>
  <si>
    <t>86-VIENNE</t>
  </si>
  <si>
    <t>87-VIENNE (HAUTE-)</t>
  </si>
  <si>
    <t>88-VOSGES</t>
  </si>
  <si>
    <t>89-YONNE</t>
  </si>
  <si>
    <t>90-BELFORT (TERRITOIRE DE)</t>
  </si>
  <si>
    <t>75-PARIS</t>
  </si>
  <si>
    <t>77-SEINE-ET-MARNE</t>
  </si>
  <si>
    <t>78-YVELINES</t>
  </si>
  <si>
    <t>91-ESSONNE</t>
  </si>
  <si>
    <t>92-HAUTS-DE-SEINE</t>
  </si>
  <si>
    <t>93-SEINE-SAINT-DENIS</t>
  </si>
  <si>
    <t>94-VAL-DE-MARNE</t>
  </si>
  <si>
    <t>95-VAL-D'OISE</t>
  </si>
  <si>
    <t>971-GUADELOUPE</t>
  </si>
  <si>
    <t>972-MARTINIQUE</t>
  </si>
  <si>
    <t>973-GUYANE</t>
  </si>
  <si>
    <t>974-REUNION</t>
  </si>
  <si>
    <t>976-MAYOTTE</t>
  </si>
  <si>
    <t>TOTAL</t>
  </si>
  <si>
    <t>Taxe</t>
  </si>
  <si>
    <t>Taux Moyens</t>
  </si>
  <si>
    <t>Taux Plafonds</t>
  </si>
  <si>
    <t>Taxe d’habitation (TH)¹</t>
  </si>
  <si>
    <t>Taxe foncière sur les propriétés bâties (TFPB)</t>
  </si>
  <si>
    <t>Taxe foncière sur les propriétés non bâties (TFPNB)</t>
  </si>
  <si>
    <t>Cotisation foncière des entreprises (CFE)</t>
  </si>
  <si>
    <t>Non</t>
  </si>
  <si>
    <t>Taux plafonds</t>
  </si>
  <si>
    <t>Taux moyen THRS</t>
  </si>
  <si>
    <t>Majoration spéciale du taux</t>
  </si>
  <si>
    <t>Oui</t>
  </si>
  <si>
    <t xml:space="preserve">Autre majoration </t>
  </si>
  <si>
    <t>Produit</t>
  </si>
  <si>
    <t>TFB</t>
  </si>
  <si>
    <t>TFNB</t>
  </si>
  <si>
    <t>THRS</t>
  </si>
  <si>
    <t>THLV</t>
  </si>
  <si>
    <t>Aucune règle de lien</t>
  </si>
  <si>
    <t xml:space="preserve">Règle de lien </t>
  </si>
  <si>
    <t>Dérogation à la règle de lien</t>
  </si>
  <si>
    <t>Article 1636 B sexies - Code général des impôts - Légifrance</t>
  </si>
  <si>
    <t>CFE</t>
  </si>
  <si>
    <t>le taux de foncier non bâti ne peut augmenter plus ou diminuer moins que le taux de foncier bâti.</t>
  </si>
  <si>
    <t>le taux de taxe d’habitation ne peut augmenter plus ou diminuer moins que le taux de foncier bâti ou si la variation est plus faible du taux moyen pondéré du foncier bâti et non bâti</t>
  </si>
  <si>
    <t xml:space="preserve">Idem que pour la THRS ? </t>
  </si>
  <si>
    <t>Non concerné</t>
  </si>
  <si>
    <t>Règle de lien (variation différenciée)</t>
  </si>
  <si>
    <t>Référence réglementaire principale</t>
  </si>
  <si>
    <t>Même dérogation que la TFPB (diminution sans lien si taux &gt; moyennes nationales)</t>
  </si>
  <si>
    <t>Ne peut augmenter plus ni diminuer moins que le taux de TFPB</t>
  </si>
  <si>
    <t>Aucune règle de lien avec la TFPB, la TFNB ou la THRS</t>
  </si>
  <si>
    <t>Taux</t>
  </si>
  <si>
    <t xml:space="preserve">Base </t>
  </si>
  <si>
    <t>Taxe sur les logements vacants</t>
  </si>
  <si>
    <t>Estimation de l'inflation règlementaire des bases (IPCH)</t>
  </si>
  <si>
    <t>Proportionnelle</t>
  </si>
  <si>
    <t>Manuelle</t>
  </si>
  <si>
    <t>Majoration de la THRS</t>
  </si>
  <si>
    <t>Montant du coefficient correcteur</t>
  </si>
  <si>
    <t>Total produit</t>
  </si>
  <si>
    <t>Variation du produit</t>
  </si>
  <si>
    <t>Proposé par Elanrural.fr</t>
  </si>
  <si>
    <t>Produit fiscal</t>
  </si>
  <si>
    <t>Taxe d'habitation sur les résidences secondaires (THRS)</t>
  </si>
  <si>
    <t>Base actuelle (2026)</t>
  </si>
  <si>
    <t>Taxe foncière sur le non bâti (TFPNB)</t>
  </si>
  <si>
    <t>Taxe sur la vacance des locaux d'habitation (TVLH)</t>
  </si>
  <si>
    <t>Loi de finances 2026</t>
  </si>
  <si>
    <t>Total</t>
  </si>
  <si>
    <t>Evolution</t>
  </si>
  <si>
    <t>Taux moyens nationaux</t>
  </si>
  <si>
    <t>Base</t>
  </si>
  <si>
    <t xml:space="preserve">Evolution de la part communale </t>
  </si>
  <si>
    <t>Taux 2025</t>
  </si>
  <si>
    <t>Taux 2026</t>
  </si>
  <si>
    <t>Saisir les taux appliqués en 2025</t>
  </si>
  <si>
    <t>&gt;&gt;&gt; Sert à calculer la variation des contribuables entre 2025 et 2026</t>
  </si>
  <si>
    <t>Evolution par rapport à N-1</t>
  </si>
  <si>
    <t>Part autre collectivités ou établissements</t>
  </si>
  <si>
    <t>Total contribution (hors frais gestion DGFIP)</t>
  </si>
  <si>
    <t xml:space="preserve">          =&gt;Cf liste des Communes en zone tendue en annexe du décret  : https://www.legifrance.gouv.fr/loda/id/JORFTEXT000027399823</t>
  </si>
  <si>
    <t>Taux moyens départementaux</t>
  </si>
  <si>
    <t>&gt;&gt;&gt; La saisie proportionnelle est recommandée pour effectuer ces simulations</t>
  </si>
  <si>
    <t>&gt;&gt;&gt; Mais il est possible de saisir les taux annuels de façon manuelle (saisie) pour différencier l'évolution des différentes taxes</t>
  </si>
  <si>
    <t>Option : Evolution proportionnelle du taux</t>
  </si>
  <si>
    <t xml:space="preserve"> =&gt; la TVLH n'est soumise à aucune règle de lien sur les taux</t>
  </si>
  <si>
    <t>Evolution des variations (pour contrôler le respect de la règle de lien</t>
  </si>
  <si>
    <t>Taux moyens pondérés (TFPB+TFPNB)</t>
  </si>
  <si>
    <t>Evolution du taux moyen pondéré</t>
  </si>
  <si>
    <t>Contrôle de conformité du taux de TFPNB (règle de lien)</t>
  </si>
  <si>
    <t>Contrôle de conformité du taux de THRS (règle de lien)</t>
  </si>
  <si>
    <t>Evolution en %</t>
  </si>
  <si>
    <t>Evolution en montant</t>
  </si>
  <si>
    <t>L'augmentation doit être supérieure ou égale à celle  de la hausse du taux THRS, la baisse de ne peut être inférieure ou égale à la baisse du taux THRS</t>
  </si>
  <si>
    <t>Peut diminuer si le taux est supérieur au taux moyen national ET au taux de CFE (de la Commune et de l'EPCI, s'il est supérieur à cette moyenne nationale)</t>
  </si>
  <si>
    <t>Majoration spéciale si inférieur à moyen nationale</t>
  </si>
  <si>
    <t>TFPB (foncier bâti)</t>
  </si>
  <si>
    <t>TFPNB (foncier non bâti)</t>
  </si>
  <si>
    <t>THRS (TH résidences secondaires)</t>
  </si>
  <si>
    <t>Le TFPB est la taxe pivot : son évolution est libre (sous réserve des plafonds), mais elle impacte la variation de la TFNB et la THRS</t>
  </si>
  <si>
    <t>Ne peut augmenter plus que le taux de TFPB, (ou bien que le taux moyen pondéré des deux taxes foncières ,TFNB+TFPNB, si il est plus faible) 
En cas de baisse du taux de TFPB : il doit diminuer au moins dans la même proportion que le taux de TFPB (ou bien que le taux moyen pondéré TFPB+TFPNB)</t>
  </si>
  <si>
    <t>Une diminution sans impact sur les autres taxes est  possible si le taux de l’année de référence est supérieur à la fois : au taux moyen national de la TFPB.</t>
  </si>
  <si>
    <t>Contrôle des plafonds</t>
  </si>
  <si>
    <t>Art. 1636 B sexies du CGI</t>
  </si>
  <si>
    <t>Art. 1636 B sexies du CGI
 1407 ter CGI (majoration
Loi de finances 2026 (art. 116)</t>
  </si>
  <si>
    <t>Coefficient Correcteur</t>
  </si>
  <si>
    <t xml:space="preserve">Choix de la taxe à simuler </t>
  </si>
  <si>
    <t>Adresse (ou intitulé de l'exemple)</t>
  </si>
  <si>
    <t>Type de logement ou terrain (Maison ordinaire, confortable, T3..)</t>
  </si>
  <si>
    <t>&gt;&gt;&gt; Il s'agit des sommes figurant sur l'avis de taxe foncière du contribuable</t>
  </si>
  <si>
    <t>Evolution globale de la taxes sur le contribuable (Communes+autres organismes)</t>
  </si>
  <si>
    <t>Autres Taux levés par d'autres entités</t>
  </si>
  <si>
    <t>Calcul des autres taux (récoltés par d'autres entités sur la même taxe)</t>
  </si>
  <si>
    <t>Total "Autres taux"</t>
  </si>
  <si>
    <t>&gt;&gt;Pour calculer simplement l'évolution des bases le tableur propose de saisir la contribution estimée de taxe versée par les contribuables des nouvelles constructions (au titre de la part communale). Ainsi, il calculera alors automatiquement la nouvelle base générée.
   Par exemple, si la commune prévoit, en 2028, la construction d’un lotissement comprenant 20 maisons supplémentaires, et que la cotisation moyenne de TF pour des logements comparables s’élève à 1 000 euros, le produit total attendu sera de 20 000 euros (montant à saisir).
Le montant peut aussi être "négatif" en cas de diminution des bases.</t>
  </si>
  <si>
    <t>&gt;&gt; il est recommandé de se baser sur les estimations de l'IPCH réalisées par la banque de France (projections macroéconomiques)</t>
  </si>
  <si>
    <t>Mode d'évolution du taux pour le TFPB, TFNB, THRS</t>
  </si>
  <si>
    <r>
      <rPr>
        <u/>
        <sz val="10"/>
        <color theme="1"/>
        <rFont val="Ebrima"/>
      </rPr>
      <t xml:space="preserve">Saisie du taux de taxe sur la vacance des locaux d'habitation </t>
    </r>
    <r>
      <rPr>
        <sz val="10"/>
        <color theme="1"/>
        <rFont val="Ebrima"/>
      </rPr>
      <t xml:space="preserve">
(TVLH) =&gt;La saisie est </t>
    </r>
    <r>
      <rPr>
        <u/>
        <sz val="10"/>
        <color theme="1"/>
        <rFont val="Ebrima"/>
      </rPr>
      <t>systématiquement "manuelle"</t>
    </r>
  </si>
  <si>
    <t xml:space="preserve">     =&gt; Il est possible d'intégrer des baisses ou hausses de taux de la part des autres entités (EPCI…) pour simuler l'impact global sur le contribuable</t>
  </si>
  <si>
    <t>Majoration spéciale qui permet le relèvement du taux de THRS  sans lien lorsque le taux Communal est inférieur à la moyenne départementale "retraité"</t>
  </si>
  <si>
    <r>
      <rPr>
        <u/>
        <sz val="10"/>
        <color theme="1"/>
        <rFont val="Ebrima"/>
      </rPr>
      <t xml:space="preserve">Par ailleurs </t>
    </r>
    <r>
      <rPr>
        <sz val="10"/>
        <color theme="1"/>
        <rFont val="Ebrima"/>
      </rPr>
      <t>: cette première version n'évoque pas la CFE (il existe encore quelques Communes la percevant). Une seconde version sera diffusée en juillet 2026 pour intégrer la CFE (le cas échant). Il est rappelé qu'aujourd'hui : la grande majorité des Communes ne perçoivent plus la CFE (totalement transférée à l'EPCI).</t>
    </r>
  </si>
  <si>
    <t xml:space="preserve">Le Commune est-elle située en zone tendue (logement) au sens du Décret n° 2013-392 du 10 mai 2013? </t>
  </si>
  <si>
    <t>Ou option : Saisie manuelle des taux</t>
  </si>
  <si>
    <t>Dernier avis de cotisation connu (année)</t>
  </si>
  <si>
    <t xml:space="preserve">&gt;&gt; Il est aussi possible de déterminer les éléments à partir de la Valeur Locative Cadastrale du bien </t>
  </si>
  <si>
    <t>Total évolution 2026/2031</t>
  </si>
  <si>
    <t xml:space="preserve"> =&gt;&gt; Vous pouvez réaliser plusieurs simulations à présenter aux décideurs, élus, ou contribuables (vous pouvez "copier et coller" dans un autre fichier).</t>
  </si>
  <si>
    <t xml:space="preserve"> &gt;&gt; peut être positif ou négatif (-) selon la Commune</t>
  </si>
  <si>
    <t xml:space="preserve">                                                             &gt;&gt;&gt;&gt; les informations sur les bases et les taux sont disponibles sur l'Etat 1259 (prévisionnel transmis en mars 2026) ou l'état 1288 (définitif, transmis en décembre 2026). En l'absence de ces documents, il est possible de faire des estimations sommaires à partir des données en ligne de la DGCL : https://www.impots.gouv.fr/cll/zf1/accueil/flux.ex?_flowId=accueilcclloc-flow</t>
  </si>
  <si>
    <t>Le tableur contient trois onglets. Il est préconisé de laisser le verouillage opérationnel pour éviter les erreurs ou les bugs de calcul</t>
  </si>
  <si>
    <t>Contrôle de la possibilité de recourir à la majoration spéciale de THRS (sans devoir respecter la règle de lien)</t>
  </si>
  <si>
    <t>Evolution 2031-2026</t>
  </si>
  <si>
    <t>&gt;&gt; Il s'agit de l'année la plus récente dont les contributions fiscales ont été arrêtées.</t>
  </si>
  <si>
    <t>Hausse ou baisse de points "Autres taux" (entités)</t>
  </si>
  <si>
    <t>Taux de la part Communale</t>
  </si>
  <si>
    <r>
      <t xml:space="preserve">Outil d'aide à la décision </t>
    </r>
    <r>
      <rPr>
        <b/>
        <sz val="12"/>
        <color rgb="FF00B050"/>
        <rFont val="Ebrima"/>
      </rPr>
      <t>"LeBonTaux"</t>
    </r>
    <r>
      <rPr>
        <sz val="12"/>
        <color theme="1"/>
        <rFont val="Ebrima"/>
      </rPr>
      <t xml:space="preserve"> - Evolution de la fiscalité directe Communale</t>
    </r>
  </si>
  <si>
    <r>
      <rPr>
        <u/>
        <sz val="10"/>
        <color theme="1"/>
        <rFont val="Ebrima"/>
      </rPr>
      <t xml:space="preserve">Important : </t>
    </r>
    <r>
      <rPr>
        <sz val="10"/>
        <color theme="1"/>
        <rFont val="Ebrima"/>
      </rPr>
      <t>cet outil permet une première analyse et de faire des choix plus éclairés. Il n'a pas vocation à intégrer toutes règles (complexes) de la fiscalité locale et il ne peut intégrer la totalité des cas de figure (fusion de communes par exemple). Ainsi après établissement d'un scénario d'évolution des taux, nous vous recommandons ensuite de le soumettre à votre Conseiller aux Décideurs Locaux (CDL/DGFIP) pour sécuriser la délibération.</t>
    </r>
  </si>
  <si>
    <t>Montant du coefficient correcteur (2026)</t>
  </si>
  <si>
    <t>Montant part communale</t>
  </si>
  <si>
    <t>Majoration 2025 (THRS ou TVLH)</t>
  </si>
  <si>
    <t>% de majoration (THRS ou TVLH)</t>
  </si>
  <si>
    <t>Estimation de produits nouveaux afférents aux nouvelles constructions ou diminution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</si>
</sst>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Ebrima"/>
    </font>
    <font>
      <sz val="10"/>
      <color rgb="FF3A3A3A"/>
      <name val="Ebrima"/>
    </font>
    <font>
      <u/>
      <sz val="10"/>
      <color theme="10"/>
      <name val="Ebrima"/>
    </font>
    <font>
      <b/>
      <sz val="10"/>
      <color theme="1"/>
      <name val="Ebrima"/>
    </font>
    <font>
      <u/>
      <sz val="10"/>
      <color theme="1"/>
      <name val="Ebrima"/>
    </font>
    <font>
      <sz val="9"/>
      <color theme="1"/>
      <name val="Ebrima"/>
    </font>
    <font>
      <sz val="11"/>
      <color theme="1"/>
      <name val="Aptos Narrow"/>
      <family val="2"/>
      <scheme val="minor"/>
    </font>
    <font>
      <b/>
      <sz val="11"/>
      <color theme="1"/>
      <name val="Ebrima"/>
    </font>
    <font>
      <b/>
      <u/>
      <sz val="10"/>
      <color theme="1"/>
      <name val="Ebrima"/>
    </font>
    <font>
      <sz val="11"/>
      <color theme="1"/>
      <name val="Ebrima"/>
    </font>
    <font>
      <b/>
      <sz val="14"/>
      <color theme="1"/>
      <name val="Ebrima"/>
    </font>
    <font>
      <i/>
      <sz val="10"/>
      <color theme="1"/>
      <name val="Ebrima"/>
    </font>
    <font>
      <sz val="12"/>
      <color theme="1"/>
      <name val="Ebrima"/>
    </font>
    <font>
      <b/>
      <sz val="12"/>
      <color rgb="FF00B050"/>
      <name val="Ebrima"/>
    </font>
    <font>
      <u/>
      <sz val="11"/>
      <color theme="1"/>
      <name val="Ebrima"/>
    </font>
    <font>
      <sz val="9.5"/>
      <color theme="1"/>
      <name val="Ebrima"/>
    </font>
  </fonts>
  <fills count="12">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2"/>
        <bgColor indexed="64"/>
      </patternFill>
    </fill>
    <fill>
      <patternFill patternType="solid">
        <fgColor rgb="FFF1F1E7"/>
        <bgColor indexed="64"/>
      </patternFill>
    </fill>
    <fill>
      <patternFill patternType="solid">
        <fgColor rgb="FFEEEEEE"/>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190">
    <xf numFmtId="0" fontId="0" fillId="0" borderId="0" xfId="0"/>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center" wrapText="1"/>
    </xf>
    <xf numFmtId="2" fontId="0" fillId="0" borderId="1" xfId="0" applyNumberFormat="1" applyBorder="1" applyAlignment="1">
      <alignment vertical="center" wrapText="1"/>
    </xf>
    <xf numFmtId="0" fontId="3" fillId="2" borderId="0" xfId="0" applyFont="1" applyFill="1"/>
    <xf numFmtId="2" fontId="3" fillId="2" borderId="0" xfId="0" applyNumberFormat="1" applyFont="1" applyFill="1"/>
    <xf numFmtId="0" fontId="3" fillId="2" borderId="1" xfId="0" applyFont="1" applyFill="1" applyBorder="1"/>
    <xf numFmtId="0" fontId="4" fillId="2" borderId="0" xfId="0" applyFont="1" applyFill="1"/>
    <xf numFmtId="0" fontId="5" fillId="2" borderId="0" xfId="1" applyFont="1" applyFill="1"/>
    <xf numFmtId="0" fontId="3" fillId="2" borderId="2" xfId="0" applyFont="1" applyFill="1" applyBorder="1"/>
    <xf numFmtId="0" fontId="3" fillId="4" borderId="1" xfId="0" applyFont="1" applyFill="1" applyBorder="1" applyAlignment="1">
      <alignment horizontal="right"/>
    </xf>
    <xf numFmtId="0" fontId="3" fillId="4" borderId="3" xfId="0" applyFont="1" applyFill="1" applyBorder="1" applyAlignment="1">
      <alignment horizontal="right"/>
    </xf>
    <xf numFmtId="0" fontId="7" fillId="4" borderId="1" xfId="0" applyFont="1" applyFill="1" applyBorder="1" applyAlignment="1">
      <alignment horizontal="center"/>
    </xf>
    <xf numFmtId="0" fontId="7" fillId="4" borderId="1" xfId="0" applyFont="1" applyFill="1" applyBorder="1" applyAlignment="1">
      <alignment horizontal="center" vertical="center" wrapText="1"/>
    </xf>
    <xf numFmtId="164" fontId="3" fillId="5" borderId="1" xfId="0" applyNumberFormat="1" applyFont="1" applyFill="1" applyBorder="1"/>
    <xf numFmtId="3" fontId="3" fillId="2" borderId="0" xfId="0" applyNumberFormat="1" applyFont="1" applyFill="1"/>
    <xf numFmtId="0" fontId="3" fillId="4" borderId="1" xfId="0" applyFont="1" applyFill="1" applyBorder="1" applyAlignment="1">
      <alignment horizontal="right" wrapText="1"/>
    </xf>
    <xf numFmtId="0" fontId="3" fillId="4" borderId="1" xfId="0" applyFont="1" applyFill="1" applyBorder="1" applyAlignment="1">
      <alignment horizontal="righ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2" borderId="0" xfId="0" applyFont="1" applyFill="1" applyAlignment="1">
      <alignment wrapText="1"/>
    </xf>
    <xf numFmtId="3" fontId="3" fillId="6" borderId="11" xfId="0" applyNumberFormat="1" applyFont="1" applyFill="1" applyBorder="1"/>
    <xf numFmtId="0" fontId="7"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 fontId="3" fillId="7" borderId="1" xfId="0" applyNumberFormat="1" applyFont="1" applyFill="1" applyBorder="1" applyAlignment="1">
      <alignment wrapText="1"/>
    </xf>
    <xf numFmtId="0" fontId="6" fillId="4" borderId="1" xfId="0" applyFont="1" applyFill="1" applyBorder="1" applyAlignment="1">
      <alignment horizontal="center"/>
    </xf>
    <xf numFmtId="0" fontId="3" fillId="9" borderId="1" xfId="0" applyFont="1" applyFill="1" applyBorder="1"/>
    <xf numFmtId="165" fontId="3" fillId="9" borderId="1" xfId="0" applyNumberFormat="1" applyFont="1" applyFill="1" applyBorder="1"/>
    <xf numFmtId="0" fontId="8" fillId="2" borderId="0" xfId="0" applyFont="1" applyFill="1" applyAlignment="1">
      <alignment wrapText="1"/>
    </xf>
    <xf numFmtId="0" fontId="8" fillId="2" borderId="0" xfId="0" applyFont="1" applyFill="1"/>
    <xf numFmtId="0" fontId="3" fillId="3" borderId="1" xfId="0" applyFont="1" applyFill="1" applyBorder="1" applyProtection="1">
      <protection locked="0"/>
    </xf>
    <xf numFmtId="3" fontId="3" fillId="3" borderId="1" xfId="0" applyNumberFormat="1" applyFont="1" applyFill="1" applyBorder="1" applyProtection="1">
      <protection locked="0"/>
    </xf>
    <xf numFmtId="2" fontId="3" fillId="3" borderId="1" xfId="0" applyNumberFormat="1" applyFont="1" applyFill="1" applyBorder="1" applyProtection="1">
      <protection locked="0"/>
    </xf>
    <xf numFmtId="164" fontId="3" fillId="0" borderId="1" xfId="0" applyNumberFormat="1" applyFont="1" applyBorder="1" applyProtection="1">
      <protection locked="0"/>
    </xf>
    <xf numFmtId="0" fontId="13" fillId="2" borderId="0" xfId="0" applyFont="1" applyFill="1"/>
    <xf numFmtId="0" fontId="7" fillId="4" borderId="1" xfId="0" applyFont="1" applyFill="1" applyBorder="1" applyAlignment="1">
      <alignment horizontal="center" vertical="center" wrapText="1"/>
    </xf>
    <xf numFmtId="0" fontId="8" fillId="10" borderId="1" xfId="0" applyFont="1" applyFill="1" applyBorder="1" applyAlignment="1">
      <alignment horizontal="justify" vertical="center" wrapText="1"/>
    </xf>
    <xf numFmtId="10" fontId="3" fillId="3" borderId="1" xfId="0" applyNumberFormat="1" applyFont="1" applyFill="1" applyBorder="1" applyAlignment="1" applyProtection="1">
      <alignment horizontal="right"/>
      <protection locked="0"/>
    </xf>
    <xf numFmtId="10" fontId="3" fillId="3" borderId="1" xfId="0" applyNumberFormat="1" applyFont="1" applyFill="1" applyBorder="1" applyProtection="1">
      <protection locked="0"/>
    </xf>
    <xf numFmtId="2" fontId="3" fillId="9" borderId="1" xfId="0" applyNumberFormat="1" applyFont="1" applyFill="1" applyBorder="1"/>
    <xf numFmtId="0" fontId="3" fillId="9" borderId="1" xfId="0" applyFont="1" applyFill="1" applyBorder="1" applyAlignment="1">
      <alignment wrapText="1"/>
    </xf>
    <xf numFmtId="0" fontId="3" fillId="9" borderId="1" xfId="0" applyFont="1" applyFill="1" applyBorder="1" applyAlignment="1">
      <alignment horizontal="center"/>
    </xf>
    <xf numFmtId="3" fontId="3" fillId="9" borderId="1" xfId="0" applyNumberFormat="1" applyFont="1" applyFill="1" applyBorder="1"/>
    <xf numFmtId="3" fontId="7" fillId="9" borderId="1" xfId="0" applyNumberFormat="1" applyFont="1" applyFill="1" applyBorder="1"/>
    <xf numFmtId="3" fontId="7" fillId="9" borderId="1" xfId="0" applyNumberFormat="1" applyFont="1" applyFill="1" applyBorder="1" applyAlignment="1">
      <alignment horizontal="right"/>
    </xf>
    <xf numFmtId="3" fontId="11" fillId="9" borderId="1" xfId="0" applyNumberFormat="1" applyFont="1" applyFill="1" applyBorder="1"/>
    <xf numFmtId="0" fontId="3" fillId="4" borderId="1" xfId="0" applyFont="1" applyFill="1" applyBorder="1" applyAlignment="1">
      <alignment horizontal="right"/>
    </xf>
    <xf numFmtId="0" fontId="14" fillId="2" borderId="0" xfId="0" applyFont="1" applyFill="1"/>
    <xf numFmtId="3" fontId="14" fillId="2" borderId="0" xfId="0" applyNumberFormat="1" applyFont="1" applyFill="1"/>
    <xf numFmtId="3" fontId="7" fillId="6" borderId="11" xfId="0" applyNumberFormat="1" applyFont="1" applyFill="1" applyBorder="1"/>
    <xf numFmtId="3" fontId="7" fillId="6" borderId="2" xfId="0" applyNumberFormat="1" applyFont="1" applyFill="1" applyBorder="1"/>
    <xf numFmtId="0" fontId="6" fillId="4" borderId="23" xfId="0" applyFont="1" applyFill="1" applyBorder="1" applyAlignment="1">
      <alignment horizontal="center" wrapText="1"/>
    </xf>
    <xf numFmtId="3" fontId="7" fillId="6" borderId="16" xfId="0" applyNumberFormat="1" applyFont="1" applyFill="1" applyBorder="1"/>
    <xf numFmtId="0" fontId="3" fillId="6" borderId="11" xfId="0" applyFont="1" applyFill="1" applyBorder="1" applyAlignment="1">
      <alignment horizontal="right"/>
    </xf>
    <xf numFmtId="0" fontId="3" fillId="6" borderId="15" xfId="0" applyFont="1" applyFill="1" applyBorder="1" applyAlignment="1">
      <alignment horizontal="right"/>
    </xf>
    <xf numFmtId="0" fontId="3" fillId="6" borderId="15" xfId="0" applyFont="1" applyFill="1" applyBorder="1" applyAlignment="1">
      <alignment horizontal="right" wrapText="1"/>
    </xf>
    <xf numFmtId="0" fontId="7" fillId="6" borderId="15" xfId="0" applyFont="1" applyFill="1" applyBorder="1" applyAlignment="1">
      <alignment horizontal="right"/>
    </xf>
    <xf numFmtId="0" fontId="7" fillId="6" borderId="19" xfId="0" applyFont="1" applyFill="1" applyBorder="1" applyAlignment="1">
      <alignment horizontal="right"/>
    </xf>
    <xf numFmtId="0" fontId="6" fillId="4" borderId="21" xfId="0" applyFont="1" applyFill="1" applyBorder="1" applyAlignment="1">
      <alignment horizontal="center" wrapText="1"/>
    </xf>
    <xf numFmtId="0" fontId="6" fillId="4" borderId="22" xfId="0" applyFont="1" applyFill="1" applyBorder="1" applyAlignment="1">
      <alignment horizontal="center"/>
    </xf>
    <xf numFmtId="2" fontId="3" fillId="10" borderId="1" xfId="0" applyNumberFormat="1" applyFont="1" applyFill="1" applyBorder="1"/>
    <xf numFmtId="2" fontId="3" fillId="10" borderId="1" xfId="0" applyNumberFormat="1" applyFont="1" applyFill="1" applyBorder="1" applyAlignment="1">
      <alignment wrapText="1"/>
    </xf>
    <xf numFmtId="164" fontId="3" fillId="10" borderId="1" xfId="0" applyNumberFormat="1" applyFont="1" applyFill="1" applyBorder="1" applyProtection="1"/>
    <xf numFmtId="0" fontId="6" fillId="4" borderId="1" xfId="0" applyFont="1" applyFill="1" applyBorder="1" applyAlignment="1">
      <alignment horizontal="center" wrapText="1"/>
    </xf>
    <xf numFmtId="0" fontId="7" fillId="4" borderId="1" xfId="0" applyFont="1" applyFill="1" applyBorder="1" applyAlignment="1">
      <alignment horizontal="center" vertical="center"/>
    </xf>
    <xf numFmtId="0" fontId="3" fillId="0" borderId="1" xfId="0" applyFont="1" applyBorder="1" applyProtection="1">
      <protection locked="0"/>
    </xf>
    <xf numFmtId="3" fontId="3" fillId="10" borderId="1" xfId="0" applyNumberFormat="1" applyFont="1" applyFill="1" applyBorder="1"/>
    <xf numFmtId="1" fontId="3" fillId="10" borderId="1" xfId="0" applyNumberFormat="1" applyFont="1" applyFill="1" applyBorder="1"/>
    <xf numFmtId="1" fontId="3" fillId="10" borderId="1" xfId="0" applyNumberFormat="1" applyFont="1" applyFill="1" applyBorder="1" applyAlignment="1">
      <alignment wrapText="1"/>
    </xf>
    <xf numFmtId="0" fontId="3" fillId="2" borderId="0" xfId="0" applyFont="1" applyFill="1" applyAlignment="1">
      <alignment vertical="center" wrapText="1"/>
    </xf>
    <xf numFmtId="0" fontId="15" fillId="2" borderId="0" xfId="0" applyFont="1" applyFill="1"/>
    <xf numFmtId="164" fontId="3" fillId="3" borderId="1" xfId="0" applyNumberFormat="1" applyFont="1" applyFill="1" applyBorder="1" applyProtection="1">
      <protection locked="0"/>
    </xf>
    <xf numFmtId="0" fontId="3" fillId="2" borderId="6" xfId="0" applyFont="1" applyFill="1" applyBorder="1" applyAlignment="1"/>
    <xf numFmtId="0" fontId="3" fillId="2" borderId="6" xfId="0" applyFont="1" applyFill="1" applyBorder="1" applyAlignment="1">
      <alignment vertical="top"/>
    </xf>
    <xf numFmtId="0" fontId="6" fillId="3" borderId="1" xfId="0" applyFont="1" applyFill="1" applyBorder="1" applyProtection="1">
      <protection locked="0"/>
    </xf>
    <xf numFmtId="3" fontId="7" fillId="10" borderId="1" xfId="0" applyNumberFormat="1" applyFont="1" applyFill="1" applyBorder="1"/>
    <xf numFmtId="164" fontId="3" fillId="10" borderId="1" xfId="2" applyNumberFormat="1" applyFont="1" applyFill="1" applyBorder="1" applyAlignment="1">
      <alignment wrapText="1"/>
    </xf>
    <xf numFmtId="3" fontId="6" fillId="10" borderId="1" xfId="0" applyNumberFormat="1" applyFont="1" applyFill="1" applyBorder="1" applyAlignment="1">
      <alignment vertical="center"/>
    </xf>
    <xf numFmtId="0" fontId="8" fillId="4" borderId="1" xfId="0" applyFont="1" applyFill="1" applyBorder="1" applyAlignment="1">
      <alignment horizontal="right" vertical="top" wrapText="1"/>
    </xf>
    <xf numFmtId="0" fontId="7" fillId="4" borderId="1" xfId="0" applyFont="1" applyFill="1" applyBorder="1"/>
    <xf numFmtId="0" fontId="7" fillId="4" borderId="1" xfId="0" applyFont="1" applyFill="1" applyBorder="1" applyAlignment="1">
      <alignment horizontal="right"/>
    </xf>
    <xf numFmtId="0" fontId="14" fillId="6" borderId="12" xfId="0" applyFont="1" applyFill="1" applyBorder="1" applyAlignment="1">
      <alignment horizontal="right"/>
    </xf>
    <xf numFmtId="0" fontId="14" fillId="6" borderId="17" xfId="0" applyFont="1" applyFill="1" applyBorder="1" applyAlignment="1">
      <alignment horizontal="right"/>
    </xf>
    <xf numFmtId="0" fontId="8" fillId="2" borderId="0" xfId="0" applyFont="1" applyFill="1" applyAlignment="1">
      <alignment vertical="top"/>
    </xf>
    <xf numFmtId="0" fontId="14" fillId="2" borderId="0" xfId="0" applyFont="1" applyFill="1" applyAlignment="1">
      <alignment vertical="top"/>
    </xf>
    <xf numFmtId="0" fontId="6" fillId="4" borderId="1" xfId="0" applyFont="1" applyFill="1" applyBorder="1" applyAlignment="1">
      <alignment horizontal="right"/>
    </xf>
    <xf numFmtId="3" fontId="3" fillId="7" borderId="1" xfId="0" applyNumberFormat="1" applyFont="1" applyFill="1" applyBorder="1"/>
    <xf numFmtId="3" fontId="6" fillId="7" borderId="7" xfId="0" applyNumberFormat="1" applyFont="1" applyFill="1" applyBorder="1" applyAlignment="1">
      <alignment vertical="center"/>
    </xf>
    <xf numFmtId="0" fontId="3" fillId="2" borderId="0" xfId="0" applyFont="1" applyFill="1" applyAlignment="1">
      <alignment vertical="center"/>
    </xf>
    <xf numFmtId="164" fontId="14" fillId="6" borderId="12" xfId="0" applyNumberFormat="1" applyFont="1" applyFill="1" applyBorder="1"/>
    <xf numFmtId="164" fontId="14" fillId="6" borderId="12" xfId="2" applyNumberFormat="1" applyFont="1" applyFill="1" applyBorder="1"/>
    <xf numFmtId="0" fontId="17" fillId="4" borderId="1" xfId="0" applyFont="1" applyFill="1" applyBorder="1" applyAlignment="1">
      <alignment horizontal="center"/>
    </xf>
    <xf numFmtId="0" fontId="12" fillId="4" borderId="1" xfId="0" applyFont="1" applyFill="1" applyBorder="1" applyAlignment="1">
      <alignment horizontal="right"/>
    </xf>
    <xf numFmtId="3" fontId="12" fillId="3" borderId="1" xfId="0" applyNumberFormat="1" applyFont="1" applyFill="1" applyBorder="1" applyProtection="1">
      <protection locked="0"/>
    </xf>
    <xf numFmtId="0" fontId="7" fillId="4" borderId="9"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right"/>
    </xf>
    <xf numFmtId="3" fontId="3" fillId="3" borderId="7" xfId="0" applyNumberFormat="1" applyFont="1" applyFill="1" applyBorder="1" applyProtection="1">
      <protection locked="0"/>
    </xf>
    <xf numFmtId="0" fontId="3" fillId="10" borderId="1" xfId="0" applyFont="1" applyFill="1" applyBorder="1" applyAlignment="1">
      <alignment horizontal="right" wrapText="1"/>
    </xf>
    <xf numFmtId="0" fontId="3" fillId="10" borderId="1" xfId="0" applyFont="1" applyFill="1" applyBorder="1" applyAlignment="1">
      <alignment horizontal="right"/>
    </xf>
    <xf numFmtId="0" fontId="7" fillId="10" borderId="1" xfId="0" applyFont="1" applyFill="1" applyBorder="1" applyAlignment="1">
      <alignment horizontal="right"/>
    </xf>
    <xf numFmtId="0" fontId="3" fillId="3" borderId="1" xfId="0" applyFont="1" applyFill="1" applyBorder="1" applyAlignment="1">
      <alignment horizontal="right"/>
    </xf>
    <xf numFmtId="44" fontId="3" fillId="11" borderId="1" xfId="0" applyNumberFormat="1" applyFont="1" applyFill="1" applyBorder="1" applyAlignment="1">
      <alignment horizontal="right"/>
    </xf>
    <xf numFmtId="0" fontId="3" fillId="11" borderId="1" xfId="0" applyFont="1" applyFill="1" applyBorder="1"/>
    <xf numFmtId="0" fontId="3" fillId="11" borderId="1" xfId="0" applyFont="1" applyFill="1" applyBorder="1" applyAlignment="1">
      <alignment horizontal="right"/>
    </xf>
    <xf numFmtId="2" fontId="3" fillId="5" borderId="1" xfId="0" applyNumberFormat="1" applyFont="1" applyFill="1" applyBorder="1" applyAlignment="1"/>
    <xf numFmtId="0" fontId="18" fillId="11" borderId="4" xfId="0" applyFont="1" applyFill="1" applyBorder="1" applyAlignment="1">
      <alignment horizontal="center" wrapText="1"/>
    </xf>
    <xf numFmtId="0" fontId="18" fillId="11" borderId="6" xfId="0" applyFont="1" applyFill="1" applyBorder="1" applyAlignment="1">
      <alignment horizontal="center" wrapText="1"/>
    </xf>
    <xf numFmtId="0" fontId="18" fillId="11" borderId="5" xfId="0" applyFont="1" applyFill="1" applyBorder="1" applyAlignment="1">
      <alignment horizontal="center" wrapText="1"/>
    </xf>
    <xf numFmtId="0" fontId="3" fillId="2" borderId="0" xfId="0" applyFont="1" applyFill="1" applyAlignment="1">
      <alignment horizontal="justify" vertical="center" wrapText="1"/>
    </xf>
    <xf numFmtId="0" fontId="3" fillId="2" borderId="0" xfId="0" applyFont="1" applyFill="1" applyAlignment="1">
      <alignment horizontal="justify" vertical="top" wrapText="1"/>
    </xf>
    <xf numFmtId="0" fontId="3" fillId="2" borderId="14" xfId="0" applyFont="1" applyFill="1" applyBorder="1" applyAlignment="1">
      <alignment horizontal="left" wrapText="1"/>
    </xf>
    <xf numFmtId="0" fontId="3" fillId="9" borderId="1" xfId="0" applyFont="1" applyFill="1" applyBorder="1" applyAlignment="1">
      <alignment horizontal="right"/>
    </xf>
    <xf numFmtId="0" fontId="7" fillId="4" borderId="8" xfId="0" applyFont="1" applyFill="1" applyBorder="1" applyAlignment="1">
      <alignment horizontal="center"/>
    </xf>
    <xf numFmtId="0" fontId="7" fillId="4" borderId="24" xfId="0" applyFont="1" applyFill="1" applyBorder="1" applyAlignment="1">
      <alignment horizontal="center"/>
    </xf>
    <xf numFmtId="0" fontId="7" fillId="4" borderId="10" xfId="0" applyFont="1" applyFill="1" applyBorder="1" applyAlignment="1">
      <alignment horizontal="center"/>
    </xf>
    <xf numFmtId="0" fontId="7" fillId="4" borderId="25" xfId="0" applyFont="1" applyFill="1" applyBorder="1" applyAlignment="1">
      <alignment horizontal="center"/>
    </xf>
    <xf numFmtId="0" fontId="3" fillId="4" borderId="10" xfId="0" applyFont="1" applyFill="1" applyBorder="1" applyAlignment="1">
      <alignment horizontal="center"/>
    </xf>
    <xf numFmtId="0" fontId="3" fillId="4" borderId="25" xfId="0" applyFont="1" applyFill="1" applyBorder="1" applyAlignment="1">
      <alignment horizontal="center"/>
    </xf>
    <xf numFmtId="0" fontId="7" fillId="4" borderId="1" xfId="0" applyFont="1" applyFill="1" applyBorder="1" applyAlignment="1">
      <alignment horizontal="center" wrapText="1"/>
    </xf>
    <xf numFmtId="0" fontId="3" fillId="2" borderId="14" xfId="0" applyFont="1" applyFill="1" applyBorder="1" applyAlignment="1">
      <alignment horizontal="center"/>
    </xf>
    <xf numFmtId="0" fontId="10" fillId="8" borderId="1" xfId="0" applyNumberFormat="1" applyFont="1" applyFill="1" applyBorder="1" applyAlignment="1">
      <alignment horizontal="center"/>
    </xf>
    <xf numFmtId="0" fontId="7" fillId="4" borderId="1" xfId="0" applyFont="1" applyFill="1" applyBorder="1" applyAlignment="1">
      <alignment horizontal="center" vertical="center"/>
    </xf>
    <xf numFmtId="0" fontId="3" fillId="3" borderId="3" xfId="0" applyFont="1" applyFill="1" applyBorder="1" applyAlignment="1" applyProtection="1">
      <alignment horizontal="right"/>
      <protection locked="0"/>
    </xf>
    <xf numFmtId="0" fontId="3" fillId="3" borderId="1" xfId="0" applyFont="1" applyFill="1" applyBorder="1" applyAlignment="1" applyProtection="1">
      <alignment horizontal="right"/>
      <protection locked="0"/>
    </xf>
    <xf numFmtId="0" fontId="7" fillId="4" borderId="1" xfId="0" applyFont="1" applyFill="1" applyBorder="1" applyAlignment="1">
      <alignment horizontal="center" vertical="center" wrapText="1"/>
    </xf>
    <xf numFmtId="0" fontId="8" fillId="6" borderId="1" xfId="0" applyFont="1" applyFill="1" applyBorder="1" applyAlignment="1">
      <alignment horizontal="justify" vertical="top" wrapText="1"/>
    </xf>
    <xf numFmtId="0" fontId="3" fillId="4" borderId="1" xfId="0" applyFont="1" applyFill="1" applyBorder="1" applyAlignment="1">
      <alignment horizontal="left" vertical="center"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3" fillId="9" borderId="4" xfId="0" applyFont="1" applyFill="1" applyBorder="1" applyAlignment="1">
      <alignment horizontal="center"/>
    </xf>
    <xf numFmtId="0" fontId="3" fillId="9" borderId="5" xfId="0" applyFont="1" applyFill="1" applyBorder="1" applyAlignment="1">
      <alignment horizontal="center"/>
    </xf>
    <xf numFmtId="0" fontId="3" fillId="9" borderId="4" xfId="0" applyFont="1" applyFill="1" applyBorder="1" applyAlignment="1">
      <alignment horizontal="center" wrapText="1"/>
    </xf>
    <xf numFmtId="0" fontId="3" fillId="9" borderId="5" xfId="0" applyFont="1" applyFill="1" applyBorder="1" applyAlignment="1">
      <alignment horizontal="center" wrapText="1"/>
    </xf>
    <xf numFmtId="2" fontId="3" fillId="9" borderId="4" xfId="0" applyNumberFormat="1" applyFont="1" applyFill="1" applyBorder="1" applyAlignment="1">
      <alignment horizontal="left" vertical="center" wrapText="1"/>
    </xf>
    <xf numFmtId="2" fontId="3" fillId="9" borderId="6" xfId="0" applyNumberFormat="1" applyFont="1" applyFill="1" applyBorder="1" applyAlignment="1">
      <alignment horizontal="left" vertical="center" wrapText="1"/>
    </xf>
    <xf numFmtId="2" fontId="3" fillId="9" borderId="5" xfId="0" applyNumberFormat="1" applyFont="1" applyFill="1" applyBorder="1" applyAlignment="1">
      <alignment horizontal="left" vertical="center" wrapText="1"/>
    </xf>
    <xf numFmtId="0" fontId="3" fillId="2" borderId="1" xfId="0" applyFont="1" applyFill="1" applyBorder="1" applyAlignment="1">
      <alignment horizontal="center"/>
    </xf>
    <xf numFmtId="0" fontId="10" fillId="8" borderId="1" xfId="0"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left" wrapText="1"/>
    </xf>
    <xf numFmtId="4" fontId="3" fillId="5" borderId="3" xfId="0" applyNumberFormat="1" applyFont="1" applyFill="1" applyBorder="1" applyAlignment="1">
      <alignment horizontal="center"/>
    </xf>
    <xf numFmtId="4" fontId="3" fillId="5" borderId="2" xfId="0" applyNumberFormat="1" applyFont="1" applyFill="1" applyBorder="1" applyAlignment="1">
      <alignment horizontal="center"/>
    </xf>
    <xf numFmtId="4" fontId="3" fillId="5" borderId="7" xfId="0" applyNumberFormat="1" applyFont="1" applyFill="1" applyBorder="1" applyAlignment="1">
      <alignment horizontal="center"/>
    </xf>
    <xf numFmtId="0" fontId="3" fillId="4" borderId="4" xfId="0" applyFont="1" applyFill="1" applyBorder="1" applyAlignment="1">
      <alignment horizontal="right"/>
    </xf>
    <xf numFmtId="0" fontId="3" fillId="4" borderId="5" xfId="0" applyFont="1" applyFill="1" applyBorder="1" applyAlignment="1">
      <alignment horizontal="right"/>
    </xf>
    <xf numFmtId="0" fontId="17" fillId="4" borderId="1" xfId="0" applyFont="1" applyFill="1" applyBorder="1" applyAlignment="1">
      <alignment horizontal="center" wrapText="1"/>
    </xf>
    <xf numFmtId="0" fontId="8" fillId="6" borderId="1" xfId="0" applyFont="1" applyFill="1" applyBorder="1" applyAlignment="1">
      <alignment horizontal="center" vertical="top" wrapText="1"/>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8" fillId="10" borderId="4" xfId="0" applyFont="1" applyFill="1" applyBorder="1" applyAlignment="1">
      <alignment horizontal="left" wrapText="1"/>
    </xf>
    <xf numFmtId="0" fontId="8" fillId="10" borderId="6" xfId="0" applyFont="1" applyFill="1" applyBorder="1" applyAlignment="1">
      <alignment horizontal="left" wrapText="1"/>
    </xf>
    <xf numFmtId="0" fontId="8" fillId="10" borderId="5" xfId="0" applyFont="1" applyFill="1" applyBorder="1" applyAlignment="1">
      <alignment horizontal="left" wrapText="1"/>
    </xf>
    <xf numFmtId="0" fontId="7" fillId="4" borderId="2"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 xfId="0" applyFont="1" applyFill="1" applyBorder="1" applyAlignment="1">
      <alignment horizontal="right"/>
    </xf>
    <xf numFmtId="0" fontId="3" fillId="4" borderId="1" xfId="0" applyFont="1" applyFill="1" applyBorder="1" applyAlignment="1">
      <alignment horizontal="right" vertical="top" wrapText="1"/>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7" xfId="0" applyFont="1" applyFill="1" applyBorder="1" applyAlignment="1">
      <alignment horizontal="center" vertical="center"/>
    </xf>
    <xf numFmtId="0" fontId="7" fillId="4" borderId="1" xfId="0" applyFont="1" applyFill="1" applyBorder="1" applyAlignment="1">
      <alignment horizontal="center"/>
    </xf>
    <xf numFmtId="0" fontId="11" fillId="4" borderId="1" xfId="0" applyFont="1" applyFill="1" applyBorder="1" applyAlignment="1">
      <alignment horizontal="right"/>
    </xf>
    <xf numFmtId="0" fontId="7" fillId="4" borderId="3" xfId="0" applyFont="1" applyFill="1" applyBorder="1" applyAlignment="1">
      <alignment horizontal="center" vertical="center" wrapText="1"/>
    </xf>
    <xf numFmtId="0" fontId="11" fillId="2" borderId="13" xfId="0" applyFont="1" applyFill="1" applyBorder="1" applyAlignment="1">
      <alignment horizontal="left"/>
    </xf>
    <xf numFmtId="0" fontId="17" fillId="4" borderId="1" xfId="0" applyFont="1" applyFill="1" applyBorder="1" applyAlignment="1">
      <alignment horizontal="right" vertical="center"/>
    </xf>
    <xf numFmtId="0" fontId="17" fillId="4" borderId="1" xfId="0" applyFont="1" applyFill="1" applyBorder="1" applyAlignment="1">
      <alignment horizontal="right" vertical="center" wrapText="1"/>
    </xf>
    <xf numFmtId="164" fontId="7" fillId="6" borderId="20" xfId="2" applyNumberFormat="1" applyFont="1" applyFill="1" applyBorder="1" applyAlignment="1">
      <alignment horizontal="right" indent="1"/>
    </xf>
    <xf numFmtId="164" fontId="7" fillId="6" borderId="18" xfId="2" applyNumberFormat="1" applyFont="1" applyFill="1" applyBorder="1" applyAlignment="1">
      <alignment horizontal="right" indent="1"/>
    </xf>
    <xf numFmtId="0" fontId="7" fillId="2" borderId="26" xfId="0" applyFont="1" applyFill="1" applyBorder="1" applyAlignment="1">
      <alignment horizontal="left"/>
    </xf>
    <xf numFmtId="3" fontId="6" fillId="10" borderId="3" xfId="0" applyNumberFormat="1" applyFont="1" applyFill="1" applyBorder="1" applyAlignment="1">
      <alignment horizontal="center" vertical="center"/>
    </xf>
    <xf numFmtId="3" fontId="6" fillId="10" borderId="7" xfId="0" applyNumberFormat="1" applyFont="1" applyFill="1" applyBorder="1" applyAlignment="1">
      <alignment horizontal="center" vertical="center"/>
    </xf>
    <xf numFmtId="0" fontId="6" fillId="0" borderId="1" xfId="0" applyFont="1" applyBorder="1" applyAlignment="1" applyProtection="1">
      <alignment horizontal="left"/>
      <protection locked="0"/>
    </xf>
    <xf numFmtId="0" fontId="10" fillId="8" borderId="4" xfId="0" applyNumberFormat="1" applyFont="1" applyFill="1" applyBorder="1" applyAlignment="1">
      <alignment horizontal="center"/>
    </xf>
    <xf numFmtId="0" fontId="10" fillId="8" borderId="6" xfId="0" applyNumberFormat="1" applyFont="1" applyFill="1" applyBorder="1" applyAlignment="1">
      <alignment horizontal="center"/>
    </xf>
    <xf numFmtId="0" fontId="10" fillId="8" borderId="5" xfId="0" applyNumberFormat="1" applyFont="1" applyFill="1" applyBorder="1" applyAlignment="1">
      <alignment horizont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2" borderId="13" xfId="0" applyFont="1" applyFill="1" applyBorder="1" applyAlignment="1">
      <alignment horizontal="left"/>
    </xf>
    <xf numFmtId="0" fontId="14" fillId="2" borderId="0" xfId="0" applyFont="1" applyFill="1" applyBorder="1" applyAlignment="1">
      <alignment horizont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EEEEEE"/>
      <color rgb="FFF1F1E7"/>
      <color rgb="FFFFFFCC"/>
      <color rgb="FFFCE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france.gouv.fr/codes/article_lc/LEGIARTI000031599676/2026-05-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2D32-C385-4E99-9F8D-00CED2ECA6D5}">
  <dimension ref="A1:L122"/>
  <sheetViews>
    <sheetView tabSelected="1" zoomScale="85" zoomScaleNormal="85" workbookViewId="0">
      <selection activeCell="C80" sqref="C80"/>
    </sheetView>
  </sheetViews>
  <sheetFormatPr baseColWidth="10" defaultRowHeight="14.25" x14ac:dyDescent="0.25"/>
  <cols>
    <col min="1" max="1" width="37.28515625" style="5" customWidth="1"/>
    <col min="2" max="2" width="20.42578125" style="5" customWidth="1"/>
    <col min="3" max="3" width="12.140625" style="5" customWidth="1"/>
    <col min="4" max="4" width="17.140625" style="5" customWidth="1"/>
    <col min="5" max="5" width="18.7109375" style="5" customWidth="1"/>
    <col min="6" max="6" width="20.5703125" style="5" customWidth="1"/>
    <col min="7" max="7" width="20.85546875" style="5" customWidth="1"/>
    <col min="8" max="8" width="18.85546875" style="5" customWidth="1"/>
    <col min="9" max="9" width="17.42578125" style="5" customWidth="1"/>
    <col min="10" max="16384" width="11.42578125" style="5"/>
  </cols>
  <sheetData>
    <row r="1" spans="1:12" ht="17.25" x14ac:dyDescent="0.3">
      <c r="A1" s="72" t="s">
        <v>230</v>
      </c>
    </row>
    <row r="2" spans="1:12" ht="17.25" x14ac:dyDescent="0.3">
      <c r="A2" s="72" t="s">
        <v>156</v>
      </c>
    </row>
    <row r="3" spans="1:12" ht="23.25" customHeight="1" x14ac:dyDescent="0.25">
      <c r="A3" s="90" t="s">
        <v>224</v>
      </c>
    </row>
    <row r="4" spans="1:12" x14ac:dyDescent="0.25">
      <c r="A4" s="11" t="s">
        <v>0</v>
      </c>
      <c r="B4" s="127"/>
      <c r="C4" s="127"/>
    </row>
    <row r="5" spans="1:12" x14ac:dyDescent="0.25">
      <c r="A5" s="12" t="s">
        <v>1</v>
      </c>
      <c r="B5" s="126"/>
      <c r="C5" s="126"/>
    </row>
    <row r="6" spans="1:12" ht="24.75" customHeight="1" x14ac:dyDescent="0.25">
      <c r="A6" s="130" t="s">
        <v>216</v>
      </c>
      <c r="B6" s="130"/>
      <c r="C6" s="130"/>
      <c r="D6" s="130"/>
      <c r="E6" s="32"/>
    </row>
    <row r="7" spans="1:12" hidden="1" x14ac:dyDescent="0.25">
      <c r="A7" s="5" t="s">
        <v>123</v>
      </c>
      <c r="B7" s="5">
        <f>SUMIF('Taux départementaux'!A2:A102,B5,'Taux départementaux'!I2:I102)</f>
        <v>0</v>
      </c>
      <c r="D7" s="5" t="s">
        <v>125</v>
      </c>
      <c r="E7" s="5" t="s">
        <v>121</v>
      </c>
    </row>
    <row r="8" spans="1:12" x14ac:dyDescent="0.25">
      <c r="A8" s="5" t="s">
        <v>175</v>
      </c>
    </row>
    <row r="9" spans="1:12" ht="12" customHeight="1" x14ac:dyDescent="0.25"/>
    <row r="10" spans="1:12" ht="47.25" customHeight="1" x14ac:dyDescent="0.25">
      <c r="A10" s="112" t="s">
        <v>231</v>
      </c>
      <c r="B10" s="112"/>
      <c r="C10" s="112"/>
      <c r="D10" s="112"/>
      <c r="E10" s="112"/>
      <c r="F10" s="112"/>
      <c r="G10" s="112"/>
      <c r="H10" s="71"/>
      <c r="I10" s="71"/>
    </row>
    <row r="11" spans="1:12" ht="36.75" customHeight="1" x14ac:dyDescent="0.25">
      <c r="A11" s="113" t="s">
        <v>215</v>
      </c>
      <c r="B11" s="113"/>
      <c r="C11" s="113"/>
      <c r="D11" s="113"/>
      <c r="E11" s="113"/>
      <c r="F11" s="113"/>
      <c r="G11" s="113"/>
    </row>
    <row r="12" spans="1:12" ht="18" customHeight="1" x14ac:dyDescent="0.3">
      <c r="A12" s="141" t="str">
        <f>UPPER("ETAPE 1 : Saisie des bases, taux et coefficient correcteur 2026 (afin d'établir les différents leviers)")</f>
        <v>ETAPE 1 : SAISIE DES BASES, TAUX ET COEFFICIENT CORRECTEUR 2026 (AFIN D'ÉTABLIR LES DIFFÉRENTS LEVIERS)</v>
      </c>
      <c r="B12" s="141"/>
      <c r="C12" s="141"/>
      <c r="D12" s="141"/>
      <c r="E12" s="141"/>
      <c r="F12" s="141"/>
      <c r="G12" s="141"/>
      <c r="H12" s="141"/>
      <c r="I12" s="141"/>
    </row>
    <row r="13" spans="1:12" ht="25.5" customHeight="1" x14ac:dyDescent="0.3">
      <c r="A13" s="93" t="s">
        <v>157</v>
      </c>
      <c r="B13" s="13" t="s">
        <v>159</v>
      </c>
      <c r="C13" s="13" t="s">
        <v>169</v>
      </c>
      <c r="D13" s="13" t="s">
        <v>122</v>
      </c>
      <c r="E13" s="131" t="s">
        <v>124</v>
      </c>
      <c r="F13" s="132"/>
      <c r="G13" s="13" t="s">
        <v>126</v>
      </c>
      <c r="H13" s="23" t="s">
        <v>176</v>
      </c>
      <c r="I13" s="23" t="s">
        <v>165</v>
      </c>
    </row>
    <row r="14" spans="1:12" x14ac:dyDescent="0.25">
      <c r="A14" s="11" t="s">
        <v>118</v>
      </c>
      <c r="B14" s="33"/>
      <c r="C14" s="34"/>
      <c r="D14" s="41">
        <f>IF(SUMIF('Taux départementaux'!A2:A102,B5,'Taux départementaux'!E2:E102)&gt;'Taux nationaux'!C3,SUMIF('Taux départementaux'!A2:A102,B5,'Taux départementaux'!E2:E102),'Taux nationaux'!C3)</f>
        <v>99.48</v>
      </c>
      <c r="E14" s="133" t="s">
        <v>140</v>
      </c>
      <c r="F14" s="134"/>
      <c r="G14" s="28" t="s">
        <v>121</v>
      </c>
      <c r="H14" s="28">
        <f>SUMIF('Taux départementaux'!A2:A102,B5,'Taux départementaux'!D2:D102)</f>
        <v>0</v>
      </c>
      <c r="I14" s="41">
        <f>'Taux nationaux'!B3</f>
        <v>39.79</v>
      </c>
    </row>
    <row r="15" spans="1:12" x14ac:dyDescent="0.25">
      <c r="A15" s="11" t="s">
        <v>160</v>
      </c>
      <c r="B15" s="33"/>
      <c r="C15" s="34"/>
      <c r="D15" s="41">
        <f>IF(SUMIF('Taux départementaux'!A2:A102,B5,'Taux départementaux'!G2:G102)&gt;'Taux nationaux'!C4,SUMIF('Taux départementaux'!A2:A102,B5,'Taux départementaux'!G2:G102),'Taux nationaux'!C4)</f>
        <v>127.98</v>
      </c>
      <c r="E15" s="133" t="s">
        <v>140</v>
      </c>
      <c r="F15" s="134"/>
      <c r="G15" s="28" t="s">
        <v>121</v>
      </c>
      <c r="H15" s="28">
        <f>SUMIF('Taux départementaux'!A2:A102,B5,'Taux départementaux'!F2:F102)</f>
        <v>0</v>
      </c>
      <c r="I15" s="41">
        <f>'Taux nationaux'!B4</f>
        <v>51.19</v>
      </c>
    </row>
    <row r="16" spans="1:12" ht="36" customHeight="1" x14ac:dyDescent="0.25">
      <c r="A16" s="17" t="s">
        <v>158</v>
      </c>
      <c r="B16" s="33"/>
      <c r="C16" s="34"/>
      <c r="D16" s="41">
        <f>SUMIF('Taux départementaux'!A2:A102,B5,'Taux départementaux'!C2:C102)</f>
        <v>0</v>
      </c>
      <c r="E16" s="135" t="str">
        <f>IF(C16&lt;B7,"Majoration annuelle possible de " &amp;SUMIF('Taux départementaux'!A2:A102,B5,'Taux départementaux'!J2:J102) &amp;" points de taux, tant que ce dernier ne dépasse pas " &amp;B7,"Aucune majoration possible")</f>
        <v>Aucune majoration possible</v>
      </c>
      <c r="F16" s="136"/>
      <c r="G16" s="28" t="str">
        <f>IF(E6="Oui","Majoration complémentaire de 60% sur le produit","Non")</f>
        <v>Non</v>
      </c>
      <c r="H16" s="28">
        <f>SUMIF('Taux départementaux'!A2:A102,B5,'Taux départementaux'!B2:B102)</f>
        <v>0</v>
      </c>
      <c r="I16" s="41">
        <f>'Taux nationaux'!B2</f>
        <v>23.67</v>
      </c>
      <c r="J16" s="109" t="str">
        <f>"Moyenne de taux THRS départementale 'retraitée' : " &amp;B7</f>
        <v>Moyenne de taux THRS départementale 'retraitée' : 0</v>
      </c>
      <c r="K16" s="110"/>
      <c r="L16" s="111"/>
    </row>
    <row r="17" spans="1:9" ht="43.5" customHeight="1" x14ac:dyDescent="0.25">
      <c r="A17" s="18" t="s">
        <v>161</v>
      </c>
      <c r="B17" s="33"/>
      <c r="C17" s="34"/>
      <c r="D17" s="137" t="str">
        <f>IF(E6="Non",50,"le taux est fixé par la loi : 17,00 la 1ière année de vacance, puis 34,00 à partir de la seconde")</f>
        <v>le taux est fixé par la loi : 17,00 la 1ière année de vacance, puis 34,00 à partir de la seconde</v>
      </c>
      <c r="E17" s="138"/>
      <c r="F17" s="139"/>
      <c r="G17" s="42" t="str">
        <f>IF(E6="Oui","Majoration complémentaire de 30% du produit","Non")</f>
        <v>Non</v>
      </c>
      <c r="H17" s="43" t="s">
        <v>140</v>
      </c>
      <c r="I17" s="43" t="s">
        <v>140</v>
      </c>
    </row>
    <row r="18" spans="1:9" ht="27" customHeight="1" x14ac:dyDescent="0.25">
      <c r="A18" s="114" t="s">
        <v>223</v>
      </c>
      <c r="B18" s="114"/>
      <c r="C18" s="114"/>
      <c r="D18" s="114"/>
      <c r="E18" s="114"/>
      <c r="F18" s="114"/>
      <c r="G18" s="114"/>
      <c r="H18" s="114"/>
      <c r="I18" s="114"/>
    </row>
    <row r="19" spans="1:9" hidden="1" x14ac:dyDescent="0.25">
      <c r="A19" s="7"/>
      <c r="B19" s="140" t="s">
        <v>133</v>
      </c>
      <c r="C19" s="140"/>
      <c r="D19" s="140"/>
      <c r="E19" s="7" t="s">
        <v>134</v>
      </c>
    </row>
    <row r="20" spans="1:9" hidden="1" x14ac:dyDescent="0.25">
      <c r="A20" s="7" t="s">
        <v>128</v>
      </c>
      <c r="B20" s="142" t="s">
        <v>188</v>
      </c>
      <c r="C20" s="142"/>
      <c r="D20" s="142"/>
      <c r="E20" s="8" t="s">
        <v>189</v>
      </c>
    </row>
    <row r="21" spans="1:9" hidden="1" x14ac:dyDescent="0.25">
      <c r="A21" s="7" t="s">
        <v>129</v>
      </c>
      <c r="B21" s="143" t="s">
        <v>137</v>
      </c>
      <c r="C21" s="142"/>
      <c r="D21" s="142"/>
      <c r="E21" s="7" t="s">
        <v>189</v>
      </c>
      <c r="H21" s="9" t="s">
        <v>135</v>
      </c>
    </row>
    <row r="22" spans="1:9" hidden="1" x14ac:dyDescent="0.25">
      <c r="A22" s="7" t="s">
        <v>130</v>
      </c>
      <c r="B22" s="143" t="s">
        <v>138</v>
      </c>
      <c r="C22" s="142"/>
      <c r="D22" s="142"/>
      <c r="E22" s="7" t="s">
        <v>190</v>
      </c>
    </row>
    <row r="23" spans="1:9" hidden="1" x14ac:dyDescent="0.25">
      <c r="A23" s="7" t="s">
        <v>131</v>
      </c>
      <c r="B23" s="142" t="s">
        <v>132</v>
      </c>
      <c r="C23" s="142"/>
      <c r="D23" s="142"/>
      <c r="E23" s="7" t="s">
        <v>140</v>
      </c>
    </row>
    <row r="24" spans="1:9" hidden="1" x14ac:dyDescent="0.25">
      <c r="A24" s="10" t="s">
        <v>136</v>
      </c>
      <c r="B24" s="5" t="s">
        <v>139</v>
      </c>
    </row>
    <row r="25" spans="1:9" ht="16.5" x14ac:dyDescent="0.3">
      <c r="A25" s="94" t="s">
        <v>232</v>
      </c>
      <c r="B25" s="95"/>
      <c r="C25" s="5" t="s">
        <v>222</v>
      </c>
    </row>
    <row r="27" spans="1:9" ht="16.5" x14ac:dyDescent="0.3">
      <c r="A27" s="141" t="str">
        <f>UPPER("Rappel des règles de lien entre les différents taux de fiscalité locale")</f>
        <v>RAPPEL DES RÈGLES DE LIEN ENTRE LES DIFFÉRENTS TAUX DE FISCALITÉ LOCALE</v>
      </c>
      <c r="B27" s="141"/>
      <c r="C27" s="141"/>
      <c r="D27" s="141"/>
      <c r="E27" s="141"/>
      <c r="F27" s="141"/>
      <c r="G27" s="141"/>
      <c r="H27" s="141"/>
      <c r="I27" s="141"/>
    </row>
    <row r="28" spans="1:9" ht="15" customHeight="1" x14ac:dyDescent="0.3">
      <c r="A28" s="14" t="s">
        <v>114</v>
      </c>
      <c r="B28" s="128" t="s">
        <v>141</v>
      </c>
      <c r="C28" s="128"/>
      <c r="D28" s="128"/>
      <c r="E28" s="128" t="s">
        <v>134</v>
      </c>
      <c r="F28" s="128"/>
      <c r="G28" s="149" t="s">
        <v>142</v>
      </c>
      <c r="H28" s="149"/>
    </row>
    <row r="29" spans="1:9" ht="62.25" customHeight="1" x14ac:dyDescent="0.25">
      <c r="A29" s="80" t="s">
        <v>118</v>
      </c>
      <c r="B29" s="129" t="s">
        <v>194</v>
      </c>
      <c r="C29" s="129"/>
      <c r="D29" s="129"/>
      <c r="E29" s="129" t="s">
        <v>196</v>
      </c>
      <c r="F29" s="129"/>
      <c r="G29" s="150" t="s">
        <v>198</v>
      </c>
      <c r="H29" s="150"/>
    </row>
    <row r="30" spans="1:9" ht="27" customHeight="1" x14ac:dyDescent="0.25">
      <c r="A30" s="80" t="s">
        <v>160</v>
      </c>
      <c r="B30" s="129" t="s">
        <v>144</v>
      </c>
      <c r="C30" s="129"/>
      <c r="D30" s="129"/>
      <c r="E30" s="129" t="s">
        <v>143</v>
      </c>
      <c r="F30" s="129"/>
      <c r="G30" s="150" t="s">
        <v>198</v>
      </c>
      <c r="H30" s="150"/>
    </row>
    <row r="31" spans="1:9" ht="78.75" customHeight="1" x14ac:dyDescent="0.25">
      <c r="A31" s="80" t="s">
        <v>158</v>
      </c>
      <c r="B31" s="129" t="s">
        <v>195</v>
      </c>
      <c r="C31" s="129"/>
      <c r="D31" s="129"/>
      <c r="E31" s="129" t="s">
        <v>214</v>
      </c>
      <c r="F31" s="129"/>
      <c r="G31" s="150" t="s">
        <v>199</v>
      </c>
      <c r="H31" s="150"/>
    </row>
    <row r="32" spans="1:9" ht="24" x14ac:dyDescent="0.25">
      <c r="A32" s="80" t="s">
        <v>161</v>
      </c>
      <c r="B32" s="129" t="s">
        <v>145</v>
      </c>
      <c r="C32" s="129"/>
      <c r="D32" s="129"/>
      <c r="E32" s="129" t="s">
        <v>140</v>
      </c>
      <c r="F32" s="129"/>
      <c r="G32" s="150" t="s">
        <v>162</v>
      </c>
      <c r="H32" s="150"/>
    </row>
    <row r="34" spans="1:9" ht="16.5" x14ac:dyDescent="0.3">
      <c r="A34" s="124" t="str">
        <f>UPPER("Etape 2 : Evolution des bases selon l'inflation (IPCH) et selon les travaux(constructions)")</f>
        <v>ETAPE 2 : EVOLUTION DES BASES SELON L'INFLATION (IPCH) ET SELON LES TRAVAUX(CONSTRUCTIONS)</v>
      </c>
      <c r="B34" s="124"/>
      <c r="C34" s="124"/>
      <c r="D34" s="124"/>
      <c r="E34" s="124"/>
      <c r="F34" s="124"/>
      <c r="G34" s="124"/>
      <c r="H34" s="124"/>
      <c r="I34" s="124"/>
    </row>
    <row r="35" spans="1:9" ht="21" customHeight="1" x14ac:dyDescent="0.25">
      <c r="A35" s="116" t="s">
        <v>149</v>
      </c>
      <c r="B35" s="117"/>
      <c r="C35" s="81">
        <v>2026</v>
      </c>
      <c r="D35" s="81">
        <v>2027</v>
      </c>
      <c r="E35" s="81">
        <v>2028</v>
      </c>
      <c r="F35" s="81">
        <v>2029</v>
      </c>
      <c r="G35" s="81">
        <v>2030</v>
      </c>
      <c r="H35" s="81">
        <v>2031</v>
      </c>
    </row>
    <row r="36" spans="1:9" x14ac:dyDescent="0.25">
      <c r="A36" s="118"/>
      <c r="B36" s="119"/>
      <c r="C36" s="64">
        <v>8.9999999999999993E-3</v>
      </c>
      <c r="D36" s="73">
        <v>2.8000000000000001E-2</v>
      </c>
      <c r="E36" s="73">
        <v>0.02</v>
      </c>
      <c r="F36" s="73">
        <v>1.4999999999999999E-2</v>
      </c>
      <c r="G36" s="73">
        <v>1.4999999999999999E-2</v>
      </c>
      <c r="H36" s="73">
        <v>1.4999999999999999E-2</v>
      </c>
    </row>
    <row r="37" spans="1:9" ht="25.5" customHeight="1" x14ac:dyDescent="0.25">
      <c r="A37" s="75" t="s">
        <v>210</v>
      </c>
      <c r="B37" s="74"/>
      <c r="C37" s="74"/>
    </row>
    <row r="38" spans="1:9" ht="29.25" customHeight="1" x14ac:dyDescent="0.25">
      <c r="A38" s="122" t="s">
        <v>236</v>
      </c>
      <c r="B38" s="122"/>
      <c r="C38" s="81">
        <v>2026</v>
      </c>
      <c r="D38" s="81">
        <v>2027</v>
      </c>
      <c r="E38" s="81">
        <v>2028</v>
      </c>
      <c r="F38" s="81">
        <v>2029</v>
      </c>
      <c r="G38" s="81">
        <v>2030</v>
      </c>
      <c r="H38" s="81">
        <v>2031</v>
      </c>
    </row>
    <row r="39" spans="1:9" x14ac:dyDescent="0.25">
      <c r="A39" s="147" t="s">
        <v>118</v>
      </c>
      <c r="B39" s="148"/>
      <c r="C39" s="144"/>
      <c r="D39" s="33"/>
      <c r="E39" s="33"/>
      <c r="F39" s="33"/>
      <c r="G39" s="33"/>
      <c r="H39" s="33"/>
    </row>
    <row r="40" spans="1:9" x14ac:dyDescent="0.25">
      <c r="A40" s="147" t="s">
        <v>160</v>
      </c>
      <c r="B40" s="148"/>
      <c r="C40" s="145"/>
      <c r="D40" s="33"/>
      <c r="E40" s="33"/>
      <c r="F40" s="33"/>
      <c r="G40" s="33"/>
      <c r="H40" s="33"/>
    </row>
    <row r="41" spans="1:9" x14ac:dyDescent="0.25">
      <c r="A41" s="147" t="s">
        <v>158</v>
      </c>
      <c r="B41" s="148"/>
      <c r="C41" s="145"/>
      <c r="D41" s="33"/>
      <c r="E41" s="33"/>
      <c r="F41" s="33"/>
      <c r="G41" s="33"/>
      <c r="H41" s="33"/>
    </row>
    <row r="42" spans="1:9" x14ac:dyDescent="0.25">
      <c r="A42" s="120" t="s">
        <v>161</v>
      </c>
      <c r="B42" s="121"/>
      <c r="C42" s="146"/>
      <c r="D42" s="100"/>
      <c r="E42" s="33"/>
      <c r="F42" s="33"/>
      <c r="G42" s="33"/>
      <c r="H42" s="33"/>
    </row>
    <row r="43" spans="1:9" ht="70.5" customHeight="1" x14ac:dyDescent="0.25">
      <c r="A43" s="113" t="s">
        <v>209</v>
      </c>
      <c r="B43" s="113"/>
      <c r="C43" s="113"/>
      <c r="D43" s="113"/>
      <c r="E43" s="113"/>
      <c r="F43" s="113"/>
      <c r="G43" s="113"/>
      <c r="H43" s="113"/>
    </row>
    <row r="44" spans="1:9" ht="9.75" customHeight="1" x14ac:dyDescent="0.25"/>
    <row r="45" spans="1:9" ht="16.5" x14ac:dyDescent="0.3">
      <c r="A45" s="124" t="str">
        <f>UPPER("Etape 3 : Evolution des taux de fiscalité")</f>
        <v>ETAPE 3 : EVOLUTION DES TAUX DE FISCALITÉ</v>
      </c>
      <c r="B45" s="124"/>
      <c r="C45" s="124"/>
      <c r="D45" s="124"/>
      <c r="E45" s="124"/>
      <c r="F45" s="124"/>
      <c r="G45" s="124"/>
      <c r="H45" s="124"/>
      <c r="I45" s="124"/>
    </row>
    <row r="46" spans="1:9" ht="29.25" customHeight="1" x14ac:dyDescent="0.25">
      <c r="A46" s="65" t="s">
        <v>211</v>
      </c>
      <c r="B46" s="76" t="s">
        <v>150</v>
      </c>
      <c r="C46" s="5" t="s">
        <v>177</v>
      </c>
    </row>
    <row r="47" spans="1:9" hidden="1" x14ac:dyDescent="0.25">
      <c r="A47" s="5" t="s">
        <v>150</v>
      </c>
      <c r="B47" s="5" t="s">
        <v>151</v>
      </c>
    </row>
    <row r="48" spans="1:9" x14ac:dyDescent="0.25">
      <c r="C48" s="5" t="s">
        <v>178</v>
      </c>
    </row>
    <row r="49" spans="1:9" ht="15" customHeight="1" x14ac:dyDescent="0.25">
      <c r="A49" s="125" t="s">
        <v>179</v>
      </c>
      <c r="B49" s="125"/>
      <c r="C49" s="81">
        <v>2026</v>
      </c>
      <c r="D49" s="81">
        <v>2027</v>
      </c>
      <c r="E49" s="81">
        <v>2028</v>
      </c>
      <c r="F49" s="81">
        <v>2029</v>
      </c>
      <c r="G49" s="81">
        <v>2030</v>
      </c>
      <c r="H49" s="81">
        <v>2031</v>
      </c>
    </row>
    <row r="50" spans="1:9" x14ac:dyDescent="0.25">
      <c r="A50" s="125"/>
      <c r="B50" s="125"/>
      <c r="C50" s="15"/>
      <c r="D50" s="35"/>
      <c r="E50" s="35"/>
      <c r="F50" s="35"/>
      <c r="G50" s="35"/>
      <c r="H50" s="35"/>
    </row>
    <row r="52" spans="1:9" x14ac:dyDescent="0.25">
      <c r="A52" s="169" t="s">
        <v>217</v>
      </c>
      <c r="B52" s="169"/>
      <c r="C52" s="81">
        <v>2026</v>
      </c>
      <c r="D52" s="81">
        <v>2027</v>
      </c>
      <c r="E52" s="81">
        <v>2028</v>
      </c>
      <c r="F52" s="81">
        <v>2029</v>
      </c>
      <c r="G52" s="81">
        <v>2030</v>
      </c>
      <c r="H52" s="81">
        <v>2031</v>
      </c>
    </row>
    <row r="53" spans="1:9" x14ac:dyDescent="0.25">
      <c r="A53" s="147" t="str">
        <f>IF($B$46="Manuelle","Taxe foncière sur les propriétés bâties (TFPB)","Ne rien saisir")</f>
        <v>Ne rien saisir</v>
      </c>
      <c r="B53" s="148"/>
      <c r="C53" s="108">
        <f>C14</f>
        <v>0</v>
      </c>
      <c r="D53" s="34"/>
      <c r="E53" s="34"/>
      <c r="F53" s="34"/>
      <c r="G53" s="34"/>
      <c r="H53" s="34"/>
    </row>
    <row r="54" spans="1:9" x14ac:dyDescent="0.25">
      <c r="A54" s="147" t="str">
        <f>IF($B$46="Manuelle","Taxe foncière sur le non bâti (TFPNB)","Ne rien saisir")</f>
        <v>Ne rien saisir</v>
      </c>
      <c r="B54" s="148"/>
      <c r="C54" s="108">
        <f>C15</f>
        <v>0</v>
      </c>
      <c r="D54" s="34"/>
      <c r="E54" s="34"/>
      <c r="F54" s="34"/>
      <c r="G54" s="34"/>
      <c r="H54" s="34"/>
    </row>
    <row r="55" spans="1:9" x14ac:dyDescent="0.25">
      <c r="A55" s="147" t="str">
        <f>IF($B$46="Manuelle","Taxe d'habitation sur les résidences secondaires (THRS)","Ne rien saisir")</f>
        <v>Ne rien saisir</v>
      </c>
      <c r="B55" s="148"/>
      <c r="C55" s="108">
        <f>C16</f>
        <v>0</v>
      </c>
      <c r="D55" s="34"/>
      <c r="E55" s="34"/>
      <c r="F55" s="34"/>
      <c r="G55" s="34"/>
      <c r="H55" s="34"/>
    </row>
    <row r="56" spans="1:9" x14ac:dyDescent="0.25">
      <c r="D56" s="6"/>
    </row>
    <row r="57" spans="1:9" ht="30" customHeight="1" x14ac:dyDescent="0.25">
      <c r="A57" s="159" t="s">
        <v>212</v>
      </c>
      <c r="B57" s="159"/>
      <c r="C57" s="108">
        <f>C17</f>
        <v>0</v>
      </c>
      <c r="D57" s="34"/>
      <c r="E57" s="34"/>
      <c r="F57" s="34"/>
      <c r="G57" s="34"/>
      <c r="H57" s="34"/>
    </row>
    <row r="58" spans="1:9" ht="15" customHeight="1" x14ac:dyDescent="0.25">
      <c r="A58" s="123" t="s">
        <v>180</v>
      </c>
      <c r="B58" s="123"/>
      <c r="C58" s="123"/>
      <c r="D58" s="5" t="str">
        <f>IF(E6="Oui","    |&gt;&gt;Pour la TVLH des Communes en zone tendue : nous préconisons d'inscrire un taux moyen (entre 17,00 et 34,00)","")</f>
        <v/>
      </c>
    </row>
    <row r="59" spans="1:9" x14ac:dyDescent="0.25">
      <c r="D59" s="6"/>
    </row>
    <row r="60" spans="1:9" x14ac:dyDescent="0.25">
      <c r="G60" s="16"/>
    </row>
    <row r="61" spans="1:9" ht="16.5" x14ac:dyDescent="0.3">
      <c r="A61" s="124" t="str">
        <f>UPPER("Etape 4 et résultat : Evolution du produit")</f>
        <v>ETAPE 4 ET RÉSULTAT : EVOLUTION DU PRODUIT</v>
      </c>
      <c r="B61" s="124"/>
      <c r="C61" s="124"/>
      <c r="D61" s="124"/>
      <c r="E61" s="124"/>
      <c r="F61" s="124"/>
      <c r="G61" s="124"/>
      <c r="H61" s="124"/>
      <c r="I61" s="124"/>
    </row>
    <row r="62" spans="1:9" x14ac:dyDescent="0.25">
      <c r="C62" s="81">
        <v>2026</v>
      </c>
      <c r="D62" s="81">
        <v>2027</v>
      </c>
      <c r="E62" s="81">
        <v>2028</v>
      </c>
      <c r="F62" s="81">
        <v>2029</v>
      </c>
      <c r="G62" s="81">
        <v>2030</v>
      </c>
      <c r="H62" s="81">
        <v>2031</v>
      </c>
    </row>
    <row r="63" spans="1:9" x14ac:dyDescent="0.25">
      <c r="A63" s="160" t="s">
        <v>118</v>
      </c>
      <c r="B63" s="82" t="s">
        <v>147</v>
      </c>
      <c r="C63" s="44">
        <f>B14</f>
        <v>0</v>
      </c>
      <c r="D63" s="44" t="str">
        <f>IFERROR((C63*D36)+C63+(D39/(D64/100)),"saisir évolution")</f>
        <v>saisir évolution</v>
      </c>
      <c r="E63" s="44" t="str">
        <f>IFERROR((D63*E36)+D63+(E39/(E64/100)),"saisir évolution")</f>
        <v>saisir évolution</v>
      </c>
      <c r="F63" s="44" t="str">
        <f>IFERROR((E63*F36)+E63+(F39/(F64/100)),"saisir évolution")</f>
        <v>saisir évolution</v>
      </c>
      <c r="G63" s="44" t="str">
        <f>IFERROR((F63*G36)+F63+(G39/(G64/100)),"saisir évolution")</f>
        <v>saisir évolution</v>
      </c>
      <c r="H63" s="44" t="str">
        <f>IFERROR((G63*H36)+G63+(H39/(H64/100)),"saisir évolution")</f>
        <v>saisir évolution</v>
      </c>
    </row>
    <row r="64" spans="1:9" x14ac:dyDescent="0.25">
      <c r="A64" s="161"/>
      <c r="B64" s="82" t="s">
        <v>146</v>
      </c>
      <c r="C64" s="41">
        <f>C14</f>
        <v>0</v>
      </c>
      <c r="D64" s="41">
        <f>IF($B$46="Manuelle",D53,C64+(C64*D50))</f>
        <v>0</v>
      </c>
      <c r="E64" s="41">
        <f>IF($B$46="Manuelle",E53,D64+(D64*E50))</f>
        <v>0</v>
      </c>
      <c r="F64" s="41">
        <f>IF($B$46="Manuelle",F53,E64+(E64*F50))</f>
        <v>0</v>
      </c>
      <c r="G64" s="41">
        <f>IF($B$46="Manuelle",G53,F64+(F64*G50))</f>
        <v>0</v>
      </c>
      <c r="H64" s="41">
        <f>IF($B$46="Manuelle",H53,G64+(G64*H50))</f>
        <v>0</v>
      </c>
      <c r="I64" s="16"/>
    </row>
    <row r="65" spans="1:10" x14ac:dyDescent="0.25">
      <c r="A65" s="162"/>
      <c r="B65" s="82" t="s">
        <v>127</v>
      </c>
      <c r="C65" s="45">
        <f>C63*C64/100</f>
        <v>0</v>
      </c>
      <c r="D65" s="45">
        <f>IFERROR((D63*D64/100),0)</f>
        <v>0</v>
      </c>
      <c r="E65" s="45">
        <f t="shared" ref="E65:H65" si="0">IFERROR((E63*E64/100),0)</f>
        <v>0</v>
      </c>
      <c r="F65" s="45">
        <f t="shared" si="0"/>
        <v>0</v>
      </c>
      <c r="G65" s="45">
        <f t="shared" si="0"/>
        <v>0</v>
      </c>
      <c r="H65" s="45">
        <f t="shared" si="0"/>
        <v>0</v>
      </c>
    </row>
    <row r="66" spans="1:10" x14ac:dyDescent="0.25">
      <c r="E66" s="6"/>
    </row>
    <row r="67" spans="1:10" x14ac:dyDescent="0.25">
      <c r="A67" s="163" t="s">
        <v>160</v>
      </c>
      <c r="B67" s="82" t="s">
        <v>147</v>
      </c>
      <c r="C67" s="44">
        <f>B15</f>
        <v>0</v>
      </c>
      <c r="D67" s="44" t="str">
        <f>IFERROR((C67*D36)+C67+(D40/(D68/100)),"Saisir évolution")</f>
        <v>Saisir évolution</v>
      </c>
      <c r="E67" s="44" t="str">
        <f>IFERROR((D67*E36)+D67+(E40/(E68/100)),"Saisir évolution")</f>
        <v>Saisir évolution</v>
      </c>
      <c r="F67" s="44" t="str">
        <f>IFERROR((E67*F36)+E67+(F40/(F68/100)),"Saisir évolution")</f>
        <v>Saisir évolution</v>
      </c>
      <c r="G67" s="44" t="str">
        <f>IFERROR((F67*G36)+F67+(G40/(G68/100)),"Saisir évolution")</f>
        <v>Saisir évolution</v>
      </c>
      <c r="H67" s="44" t="str">
        <f>IFERROR((G67*H36)+G67+(H40/(H68/100)),"Saisir évolution")</f>
        <v>Saisir évolution</v>
      </c>
    </row>
    <row r="68" spans="1:10" x14ac:dyDescent="0.25">
      <c r="A68" s="164"/>
      <c r="B68" s="82" t="s">
        <v>146</v>
      </c>
      <c r="C68" s="41">
        <f>C15</f>
        <v>0</v>
      </c>
      <c r="D68" s="41">
        <f>IF($B$46="Manuelle",D54,C68+(C68*D50))</f>
        <v>0</v>
      </c>
      <c r="E68" s="41">
        <f>IF($B$46="Manuelle",E54,D68+(D68*E50))</f>
        <v>0</v>
      </c>
      <c r="F68" s="41">
        <f>IF($B$46="Manuelle",F54,E68+(E68*F50))</f>
        <v>0</v>
      </c>
      <c r="G68" s="41">
        <f>IF($B$46="Manuelle",G54,F68+(F68*G50))</f>
        <v>0</v>
      </c>
      <c r="H68" s="41">
        <f>IF($B$46="Manuelle",H54,G68+(G68*H50))</f>
        <v>0</v>
      </c>
      <c r="J68" s="16"/>
    </row>
    <row r="69" spans="1:10" x14ac:dyDescent="0.25">
      <c r="A69" s="165"/>
      <c r="B69" s="82" t="s">
        <v>127</v>
      </c>
      <c r="C69" s="45">
        <f>C67*C68/100</f>
        <v>0</v>
      </c>
      <c r="D69" s="45">
        <f>IFERROR((D67*D68/100),0)</f>
        <v>0</v>
      </c>
      <c r="E69" s="45">
        <f t="shared" ref="E69:H69" si="1">IFERROR((E67*E68/100),0)</f>
        <v>0</v>
      </c>
      <c r="F69" s="45">
        <f t="shared" si="1"/>
        <v>0</v>
      </c>
      <c r="G69" s="45">
        <f t="shared" si="1"/>
        <v>0</v>
      </c>
      <c r="H69" s="45">
        <f t="shared" si="1"/>
        <v>0</v>
      </c>
      <c r="J69" s="16"/>
    </row>
    <row r="70" spans="1:10" x14ac:dyDescent="0.25">
      <c r="E70" s="6"/>
      <c r="J70" s="16"/>
    </row>
    <row r="71" spans="1:10" x14ac:dyDescent="0.25">
      <c r="A71" s="171" t="s">
        <v>158</v>
      </c>
      <c r="B71" s="82" t="s">
        <v>147</v>
      </c>
      <c r="C71" s="44">
        <f>B16</f>
        <v>0</v>
      </c>
      <c r="D71" s="44" t="str">
        <f>IFERROR((C71*D36)+C71+(D41/(D72/100)),"saisir évolution")</f>
        <v>saisir évolution</v>
      </c>
      <c r="E71" s="44" t="str">
        <f>IFERROR((D71*E36)+D71+(E41/(E72/100)),"saisir évolution")</f>
        <v>saisir évolution</v>
      </c>
      <c r="F71" s="44" t="str">
        <f>IFERROR((E71*F36)+E71+(F41/(F72/100)),"saisir évolution")</f>
        <v>saisir évolution</v>
      </c>
      <c r="G71" s="44" t="str">
        <f>IFERROR((F71*G36)+F71+(G41/(G72/100)),"saisir évolution")</f>
        <v>saisir évolution</v>
      </c>
      <c r="H71" s="44" t="str">
        <f>IFERROR((G71*H36)+G71+(H41/(H72/100)),"saisir évolution")</f>
        <v>saisir évolution</v>
      </c>
    </row>
    <row r="72" spans="1:10" ht="15" customHeight="1" x14ac:dyDescent="0.25">
      <c r="A72" s="156"/>
      <c r="B72" s="82" t="s">
        <v>146</v>
      </c>
      <c r="C72" s="41">
        <f>C16</f>
        <v>0</v>
      </c>
      <c r="D72" s="41">
        <f>IF($B$46="Manuelle",D55,C72+(C72*D50))</f>
        <v>0</v>
      </c>
      <c r="E72" s="41">
        <f>IF($B$46="Manuelle",E55,D72+(D72*E50))</f>
        <v>0</v>
      </c>
      <c r="F72" s="41">
        <f>IF($B$46="Manuelle",F55,E72+(E72*F50))</f>
        <v>0</v>
      </c>
      <c r="G72" s="41">
        <f>IF($B$46="Manuelle",G55,F72+(F72*G50))</f>
        <v>0</v>
      </c>
      <c r="H72" s="41">
        <f>IF($B$46="Manuelle",H55,G72+(G72*H50))</f>
        <v>0</v>
      </c>
    </row>
    <row r="73" spans="1:10" x14ac:dyDescent="0.25">
      <c r="A73" s="156"/>
      <c r="B73" s="82" t="s">
        <v>127</v>
      </c>
      <c r="C73" s="45">
        <f>C71*C72/100</f>
        <v>0</v>
      </c>
      <c r="D73" s="45">
        <f>IFERROR((D71*D72/100),0)</f>
        <v>0</v>
      </c>
      <c r="E73" s="45">
        <f t="shared" ref="E73:H73" si="2">IFERROR((E71*E72/100),0)</f>
        <v>0</v>
      </c>
      <c r="F73" s="45">
        <f t="shared" si="2"/>
        <v>0</v>
      </c>
      <c r="G73" s="45">
        <f t="shared" si="2"/>
        <v>0</v>
      </c>
      <c r="H73" s="45">
        <f t="shared" si="2"/>
        <v>0</v>
      </c>
    </row>
    <row r="74" spans="1:10" ht="9" customHeight="1" x14ac:dyDescent="0.25">
      <c r="A74" s="19"/>
    </row>
    <row r="75" spans="1:10" x14ac:dyDescent="0.25">
      <c r="A75" s="96" t="s">
        <v>152</v>
      </c>
      <c r="B75" s="48" t="str">
        <f>IF(E6="Oui","Taux de majoration","Majoration impossible")</f>
        <v>Majoration impossible</v>
      </c>
      <c r="C75" s="39">
        <v>0.6</v>
      </c>
      <c r="D75" s="39">
        <v>0.6</v>
      </c>
      <c r="E75" s="39">
        <v>0.6</v>
      </c>
      <c r="F75" s="39">
        <v>0.6</v>
      </c>
      <c r="G75" s="39">
        <v>0.6</v>
      </c>
      <c r="H75" s="39">
        <v>0.6</v>
      </c>
    </row>
    <row r="76" spans="1:10" x14ac:dyDescent="0.25">
      <c r="A76" s="20"/>
      <c r="B76" s="99" t="str">
        <f>IF(E6="Oui","Produit de la majoration","Majoration impossible")</f>
        <v>Majoration impossible</v>
      </c>
      <c r="C76" s="46">
        <f>IF($E$6="Oui",C73*C75,0)</f>
        <v>0</v>
      </c>
      <c r="D76" s="46">
        <f>IF($E$6="Oui",D73*D75,0)</f>
        <v>0</v>
      </c>
      <c r="E76" s="46">
        <f t="shared" ref="E76:H76" si="3">IF($E$6="Oui",E73*E75,0)</f>
        <v>0</v>
      </c>
      <c r="F76" s="46">
        <f t="shared" si="3"/>
        <v>0</v>
      </c>
      <c r="G76" s="46">
        <f t="shared" si="3"/>
        <v>0</v>
      </c>
      <c r="H76" s="46">
        <f t="shared" si="3"/>
        <v>0</v>
      </c>
    </row>
    <row r="77" spans="1:10" x14ac:dyDescent="0.25">
      <c r="E77" s="6"/>
    </row>
    <row r="78" spans="1:10" x14ac:dyDescent="0.25">
      <c r="A78" s="160" t="s">
        <v>148</v>
      </c>
      <c r="B78" s="48" t="s">
        <v>147</v>
      </c>
      <c r="C78" s="44">
        <f>B17</f>
        <v>0</v>
      </c>
      <c r="D78" s="44" t="str">
        <f>IFERROR((C78*D36)+C78+(D42/(D79/100)),"saisir Taux")</f>
        <v>saisir Taux</v>
      </c>
      <c r="E78" s="44" t="str">
        <f>IFERROR((D78*E36)+D78+(E42/(E79/100)),"saisir Taux")</f>
        <v>saisir Taux</v>
      </c>
      <c r="F78" s="44" t="str">
        <f>IFERROR((E78*F36)+E78+(F42/(F79/100)),"saisir Taux")</f>
        <v>saisir Taux</v>
      </c>
      <c r="G78" s="44" t="str">
        <f>IFERROR((F78*G36)+F78+(G42/(G79/100)),"saisir Taux")</f>
        <v>saisir Taux</v>
      </c>
      <c r="H78" s="44" t="str">
        <f>IFERROR((G78*H36)+G78+(H42/(H79/100)),"saisir Taux")</f>
        <v>saisir Taux</v>
      </c>
    </row>
    <row r="79" spans="1:10" x14ac:dyDescent="0.25">
      <c r="A79" s="161"/>
      <c r="B79" s="48" t="s">
        <v>146</v>
      </c>
      <c r="C79" s="41">
        <f>C17</f>
        <v>0</v>
      </c>
      <c r="D79" s="41">
        <f t="shared" ref="D79:H79" si="4">IFERROR(D57,"Saisir taux")</f>
        <v>0</v>
      </c>
      <c r="E79" s="41">
        <f t="shared" si="4"/>
        <v>0</v>
      </c>
      <c r="F79" s="41">
        <f t="shared" si="4"/>
        <v>0</v>
      </c>
      <c r="G79" s="41">
        <f t="shared" si="4"/>
        <v>0</v>
      </c>
      <c r="H79" s="41">
        <f t="shared" si="4"/>
        <v>0</v>
      </c>
    </row>
    <row r="80" spans="1:10" x14ac:dyDescent="0.25">
      <c r="A80" s="161"/>
      <c r="B80" s="48" t="s">
        <v>127</v>
      </c>
      <c r="C80" s="45">
        <f>IFERROR(C78*C79/100,0)</f>
        <v>0</v>
      </c>
      <c r="D80" s="45">
        <f t="shared" ref="D80:H80" si="5">IFERROR(D78*D79/100,0)</f>
        <v>0</v>
      </c>
      <c r="E80" s="45">
        <f t="shared" si="5"/>
        <v>0</v>
      </c>
      <c r="F80" s="45">
        <f t="shared" si="5"/>
        <v>0</v>
      </c>
      <c r="G80" s="45">
        <f t="shared" si="5"/>
        <v>0</v>
      </c>
      <c r="H80" s="45">
        <f t="shared" si="5"/>
        <v>0</v>
      </c>
    </row>
    <row r="81" spans="1:9" ht="9.75" customHeight="1" x14ac:dyDescent="0.25">
      <c r="A81" s="19"/>
    </row>
    <row r="82" spans="1:9" x14ac:dyDescent="0.25">
      <c r="A82" s="156" t="s">
        <v>161</v>
      </c>
      <c r="B82" s="99" t="str">
        <f>IF(E6="Oui","Taux de majoration","Majoration impossible")</f>
        <v>Majoration impossible</v>
      </c>
      <c r="C82" s="40">
        <v>0.3</v>
      </c>
      <c r="D82" s="40">
        <v>0.3</v>
      </c>
      <c r="E82" s="40">
        <v>0.3</v>
      </c>
      <c r="F82" s="40">
        <v>0.3</v>
      </c>
      <c r="G82" s="40">
        <v>0.3</v>
      </c>
      <c r="H82" s="40">
        <v>0.3</v>
      </c>
    </row>
    <row r="83" spans="1:9" x14ac:dyDescent="0.25">
      <c r="A83" s="157"/>
      <c r="B83" s="99" t="str">
        <f>IF(E6="Oui","Produit de la majoration","Majoration impossible")</f>
        <v>Majoration impossible</v>
      </c>
      <c r="C83" s="46">
        <f>IF($E$6="Oui",C80*C82,0)</f>
        <v>0</v>
      </c>
      <c r="D83" s="46">
        <f t="shared" ref="D83:H83" si="6">IF($E$6="Oui",D80*D82,0)</f>
        <v>0</v>
      </c>
      <c r="E83" s="46">
        <f t="shared" si="6"/>
        <v>0</v>
      </c>
      <c r="F83" s="46">
        <f t="shared" si="6"/>
        <v>0</v>
      </c>
      <c r="G83" s="46">
        <f t="shared" si="6"/>
        <v>0</v>
      </c>
      <c r="H83" s="46">
        <f t="shared" si="6"/>
        <v>0</v>
      </c>
    </row>
    <row r="84" spans="1:9" x14ac:dyDescent="0.25">
      <c r="E84" s="6"/>
    </row>
    <row r="85" spans="1:9" x14ac:dyDescent="0.25">
      <c r="C85" s="81">
        <v>2026</v>
      </c>
      <c r="D85" s="81">
        <v>2027</v>
      </c>
      <c r="E85" s="81">
        <v>2028</v>
      </c>
      <c r="F85" s="81">
        <v>2029</v>
      </c>
      <c r="G85" s="81">
        <v>2030</v>
      </c>
      <c r="H85" s="81">
        <v>2031</v>
      </c>
    </row>
    <row r="86" spans="1:9" x14ac:dyDescent="0.25">
      <c r="A86" s="158" t="s">
        <v>153</v>
      </c>
      <c r="B86" s="158"/>
      <c r="C86" s="45">
        <f>B25</f>
        <v>0</v>
      </c>
      <c r="D86" s="45" t="str">
        <f>IFERROR((((D63-C63)/C63)*C86)+C86,"Saisir étape 3")</f>
        <v>Saisir étape 3</v>
      </c>
      <c r="E86" s="45" t="str">
        <f t="shared" ref="E86:H86" si="7">IFERROR((((E63-D63)/D63)*D86)+D86,"Saisir étape 3")</f>
        <v>Saisir étape 3</v>
      </c>
      <c r="F86" s="45" t="str">
        <f t="shared" si="7"/>
        <v>Saisir étape 3</v>
      </c>
      <c r="G86" s="45" t="str">
        <f t="shared" si="7"/>
        <v>Saisir étape 3</v>
      </c>
      <c r="H86" s="45" t="str">
        <f t="shared" si="7"/>
        <v>Saisir étape 3</v>
      </c>
    </row>
    <row r="88" spans="1:9" x14ac:dyDescent="0.25">
      <c r="A88" s="170" t="s">
        <v>154</v>
      </c>
      <c r="B88" s="170"/>
      <c r="C88" s="47">
        <f>IFERROR((C65+C69+C73+C76+C80+C83+C86),"saisir évolution")</f>
        <v>0</v>
      </c>
      <c r="D88" s="47" t="str">
        <f t="shared" ref="D88:H88" si="8">IFERROR((D65+D69+D73+D76+D80+D83+D86),"saisir évolution")</f>
        <v>saisir évolution</v>
      </c>
      <c r="E88" s="47" t="str">
        <f t="shared" si="8"/>
        <v>saisir évolution</v>
      </c>
      <c r="F88" s="47" t="str">
        <f t="shared" si="8"/>
        <v>saisir évolution</v>
      </c>
      <c r="G88" s="47" t="str">
        <f t="shared" si="8"/>
        <v>saisir évolution</v>
      </c>
      <c r="H88" s="47" t="str">
        <f t="shared" si="8"/>
        <v>saisir évolution</v>
      </c>
    </row>
    <row r="89" spans="1:9" x14ac:dyDescent="0.25">
      <c r="B89" s="49" t="s">
        <v>155</v>
      </c>
      <c r="C89" s="49"/>
      <c r="D89" s="50">
        <f>IFERROR((D88-C88),0)</f>
        <v>0</v>
      </c>
      <c r="E89" s="50">
        <f t="shared" ref="E89:H89" si="9">IFERROR((E88-D88),0)</f>
        <v>0</v>
      </c>
      <c r="F89" s="50">
        <f t="shared" si="9"/>
        <v>0</v>
      </c>
      <c r="G89" s="50">
        <f t="shared" si="9"/>
        <v>0</v>
      </c>
      <c r="H89" s="50">
        <f t="shared" si="9"/>
        <v>0</v>
      </c>
    </row>
    <row r="91" spans="1:9" ht="16.5" x14ac:dyDescent="0.3">
      <c r="A91" s="124" t="str">
        <f>UPPER("Vérification du respect des règles de lien et des plafonds")</f>
        <v>VÉRIFICATION DU RESPECT DES RÈGLES DE LIEN ET DES PLAFONDS</v>
      </c>
      <c r="B91" s="124"/>
      <c r="C91" s="124"/>
      <c r="D91" s="124"/>
      <c r="E91" s="124"/>
      <c r="F91" s="124"/>
      <c r="G91" s="124"/>
      <c r="H91" s="124"/>
      <c r="I91" s="124"/>
    </row>
    <row r="92" spans="1:9" hidden="1" x14ac:dyDescent="0.25">
      <c r="A92" s="172" t="s">
        <v>181</v>
      </c>
      <c r="B92" s="172"/>
      <c r="C92" s="172"/>
      <c r="D92" s="172"/>
      <c r="E92" s="172"/>
      <c r="F92" s="172"/>
      <c r="G92" s="172"/>
      <c r="H92" s="172"/>
    </row>
    <row r="93" spans="1:9" hidden="1" x14ac:dyDescent="0.25">
      <c r="A93" s="115" t="s">
        <v>118</v>
      </c>
      <c r="B93" s="115"/>
      <c r="C93" s="115"/>
      <c r="D93" s="29" t="e">
        <f>(D64-C64)/C64</f>
        <v>#DIV/0!</v>
      </c>
      <c r="E93" s="29" t="e">
        <f t="shared" ref="E93:H93" si="10">(E64-D64)/D64</f>
        <v>#DIV/0!</v>
      </c>
      <c r="F93" s="29" t="e">
        <f t="shared" si="10"/>
        <v>#DIV/0!</v>
      </c>
      <c r="G93" s="29" t="e">
        <f t="shared" si="10"/>
        <v>#DIV/0!</v>
      </c>
      <c r="H93" s="29" t="e">
        <f t="shared" si="10"/>
        <v>#DIV/0!</v>
      </c>
    </row>
    <row r="94" spans="1:9" hidden="1" x14ac:dyDescent="0.25">
      <c r="A94" s="115" t="s">
        <v>160</v>
      </c>
      <c r="B94" s="115"/>
      <c r="C94" s="115"/>
      <c r="D94" s="29" t="e">
        <f>(D68-C68)/C68</f>
        <v>#DIV/0!</v>
      </c>
      <c r="E94" s="29" t="e">
        <f t="shared" ref="E94:H94" si="11">(E68-D68)/D68</f>
        <v>#DIV/0!</v>
      </c>
      <c r="F94" s="29" t="e">
        <f t="shared" si="11"/>
        <v>#DIV/0!</v>
      </c>
      <c r="G94" s="29" t="e">
        <f t="shared" si="11"/>
        <v>#DIV/0!</v>
      </c>
      <c r="H94" s="29" t="e">
        <f t="shared" si="11"/>
        <v>#DIV/0!</v>
      </c>
    </row>
    <row r="95" spans="1:9" hidden="1" x14ac:dyDescent="0.25">
      <c r="A95" s="115" t="s">
        <v>158</v>
      </c>
      <c r="B95" s="115"/>
      <c r="C95" s="115"/>
      <c r="D95" s="29" t="e">
        <f>(D72-C72)/C72</f>
        <v>#DIV/0!</v>
      </c>
      <c r="E95" s="29" t="e">
        <f t="shared" ref="E95:H95" si="12">(E72-D72)/D72</f>
        <v>#DIV/0!</v>
      </c>
      <c r="F95" s="29" t="e">
        <f t="shared" si="12"/>
        <v>#DIV/0!</v>
      </c>
      <c r="G95" s="29" t="e">
        <f t="shared" si="12"/>
        <v>#DIV/0!</v>
      </c>
      <c r="H95" s="29" t="e">
        <f t="shared" si="12"/>
        <v>#DIV/0!</v>
      </c>
    </row>
    <row r="96" spans="1:9" hidden="1" x14ac:dyDescent="0.25"/>
    <row r="97" spans="1:8" hidden="1" x14ac:dyDescent="0.25">
      <c r="A97" s="115" t="s">
        <v>182</v>
      </c>
      <c r="B97" s="115"/>
      <c r="C97" s="28" t="e">
        <f t="shared" ref="C97:H97" si="13">((C63*C64/100)+(C67*C68/100))/(C63+C67)</f>
        <v>#DIV/0!</v>
      </c>
      <c r="D97" s="29" t="e">
        <f t="shared" si="13"/>
        <v>#VALUE!</v>
      </c>
      <c r="E97" s="29" t="e">
        <f t="shared" si="13"/>
        <v>#VALUE!</v>
      </c>
      <c r="F97" s="29" t="e">
        <f t="shared" si="13"/>
        <v>#VALUE!</v>
      </c>
      <c r="G97" s="29" t="e">
        <f t="shared" si="13"/>
        <v>#VALUE!</v>
      </c>
      <c r="H97" s="29" t="e">
        <f t="shared" si="13"/>
        <v>#VALUE!</v>
      </c>
    </row>
    <row r="98" spans="1:8" hidden="1" x14ac:dyDescent="0.25">
      <c r="A98" s="115" t="s">
        <v>183</v>
      </c>
      <c r="B98" s="115"/>
      <c r="C98" s="115"/>
      <c r="D98" s="29" t="e">
        <f>ROUND((D97-C97)/C97,1)</f>
        <v>#VALUE!</v>
      </c>
      <c r="E98" s="29" t="e">
        <f t="shared" ref="E98:H98" si="14">ROUND((E97-D97)/D97,1)</f>
        <v>#VALUE!</v>
      </c>
      <c r="F98" s="29" t="e">
        <f t="shared" si="14"/>
        <v>#VALUE!</v>
      </c>
      <c r="G98" s="29" t="e">
        <f t="shared" si="14"/>
        <v>#VALUE!</v>
      </c>
      <c r="H98" s="29" t="e">
        <f t="shared" si="14"/>
        <v>#VALUE!</v>
      </c>
    </row>
    <row r="99" spans="1:8" x14ac:dyDescent="0.25">
      <c r="D99" s="13">
        <v>2027</v>
      </c>
      <c r="E99" s="13">
        <v>2028</v>
      </c>
      <c r="F99" s="13">
        <v>2029</v>
      </c>
      <c r="G99" s="13">
        <v>2030</v>
      </c>
      <c r="H99" s="13">
        <v>2031</v>
      </c>
    </row>
    <row r="100" spans="1:8" ht="190.5" customHeight="1" x14ac:dyDescent="0.25">
      <c r="A100" s="173" t="s">
        <v>184</v>
      </c>
      <c r="B100" s="173"/>
      <c r="C100" s="173"/>
      <c r="D100" s="38" t="e">
        <f>IF(AND(D93&lt;0, D94&gt;D93),
    IF(D94=0,
        "Ne respecte pas la règle de lien de base (TFPB baisse mais TFPNB reste stable). Mais la dérogation 'diminution sans lien' pourait s'appliquer sur le TFPB",
        "NON - Baisse insuffisante sur le TFPNB (ne peut diminuer moins que le TFPB)"
    ),
    IF(AND(D93&gt;=0, D94&lt;0),
        "Ne respecte pas la règle de lien, mais la baisse peut être autorisé via la dérogation 'diminution sans lien' (si le taux de TFNB reste au-dessus de la moyenne nationale)",
        IF(D94&gt;D93,
            "NON - Hausse trop forte sur le TFPNB (ne peut augmenter plus que le TFPB)",
            "Conforme"
        )
    )
)</f>
        <v>#DIV/0!</v>
      </c>
      <c r="E100" s="38" t="e">
        <f t="shared" ref="E100:H100" si="15">IF(AND(E93&lt;0, E94&gt;E93),
    IF(E94=0,
        "Ne respecte pas la règle de lien de base (TFPB baisse mais TFPNB reste stable). Mais la dérogation 'diminution sans lien' pourait s'appliquer sur le TFPB",
        "NON - Baisse insuffisante sur le TFPNB (ne peut diminuer moins que le TFPB)"
    ),
    IF(AND(E93&gt;=0, E94&lt;0),
        "Ne respecte pas la règle de lien, mais la baisse peut être autorisé via la dérogation 'diminution sans lien' (si le taux de TFNB reste au-dessus de la moyenne nationale)",
        IF(E94&gt;E93,
            "NON - Hausse trop forte sur le TFPNB (ne peut augmenter plus que le TFPB)",
            "Conforme"
        )
    )
)</f>
        <v>#DIV/0!</v>
      </c>
      <c r="F100" s="38" t="e">
        <f t="shared" si="15"/>
        <v>#DIV/0!</v>
      </c>
      <c r="G100" s="38" t="e">
        <f t="shared" si="15"/>
        <v>#DIV/0!</v>
      </c>
      <c r="H100" s="38" t="e">
        <f t="shared" si="15"/>
        <v>#DIV/0!</v>
      </c>
    </row>
    <row r="101" spans="1:8" x14ac:dyDescent="0.25">
      <c r="D101" s="30"/>
      <c r="E101" s="31"/>
      <c r="F101" s="31" t="e">
        <f>IF(F94&gt;F93,IF(F94&gt;F98,"Le taux de TFPNB ne semble pas conforme : il ne peut pas augmenter plus ou diminuer moins que le taux de TFPB (règle de lien)",""),"")</f>
        <v>#DIV/0!</v>
      </c>
      <c r="G101" s="31" t="e">
        <f>IF(G94&gt;G93,IF(G94&gt;G98,"Le taux de TFPNB ne semble pas conforme : il ne peut pas augmenter plus ou diminuer moins que le taux de TFPB (règle de lien)",""),"")</f>
        <v>#DIV/0!</v>
      </c>
      <c r="H101" s="31" t="e">
        <f>IF(H94&gt;H93,IF(H94&gt;H98,"Le taux de TFPNB ne semble pas conforme : il ne peut pas augmenter plus ou diminuer moins que le taux de TFPB (règle de lien)",""),"")</f>
        <v>#DIV/0!</v>
      </c>
    </row>
    <row r="102" spans="1:8" ht="3" customHeight="1" x14ac:dyDescent="0.25">
      <c r="D102" s="30"/>
      <c r="E102" s="31"/>
      <c r="F102" s="31"/>
      <c r="G102" s="31"/>
      <c r="H102" s="31"/>
    </row>
    <row r="103" spans="1:8" ht="186.75" customHeight="1" x14ac:dyDescent="0.25">
      <c r="A103" s="173" t="s">
        <v>185</v>
      </c>
      <c r="B103" s="173"/>
      <c r="C103" s="173"/>
      <c r="D103" s="38" t="e">
        <f t="shared" ref="D103:G103" si="16">IF(AND(D95&gt;0,D95&gt;D93,D95&gt;D98),
"NON - Hausse trop forte sur THRS (dépasse les deux références : évolution de TFPB ou du taux moyen pondéré TFPB+TFPNB)",
IF(AND(D93&lt;0,D95=0),
"Ne respecte pas la règle de lien (TFPB baisse alors que THRS reste stable), mais baisse possible via la dérogation 'diminution sans lien' pourrait s'appliquer sur le TFPB",
IF(AND(OR(D93&lt;0,D98&lt;0),D95&gt;MIN(D93,D98)),
"NON - Baisse insuffisante sur THRS (les références baissent mais la THRS diminue moins)",
"Conforme"
)
)
)</f>
        <v>#DIV/0!</v>
      </c>
      <c r="E103" s="38" t="e">
        <f t="shared" si="16"/>
        <v>#DIV/0!</v>
      </c>
      <c r="F103" s="38" t="e">
        <f t="shared" si="16"/>
        <v>#DIV/0!</v>
      </c>
      <c r="G103" s="38" t="e">
        <f t="shared" si="16"/>
        <v>#DIV/0!</v>
      </c>
      <c r="H103" s="38" t="e">
        <f>IF(AND(H95&gt;0,H95&gt;H93,H95&gt;H98),
"NON - Hausse trop forte sur THRS (dépasse les deux références : évolution de TFPB ou du taux moyen pondéré TFPB+TFPNB)",
IF(AND(H93&lt;0,H95=0),
"Ne respecte pas la règle de lien (TFPB baisse alors que THRS reste stable), mais baisse possible via la dérogation 'diminution sans lien' pourrait s'appliquer sur le TFPB",
IF(AND(OR(H93&lt;0,H98&lt;0),H95&gt;MIN(H93,H98)),
"NON - Baisse insuffisante sur THRS (les références baissent mais la THRS diminue moins)",
"Conforme"
)
)
)</f>
        <v>#DIV/0!</v>
      </c>
    </row>
    <row r="104" spans="1:8" ht="12.75" customHeight="1" x14ac:dyDescent="0.25">
      <c r="D104" s="21"/>
    </row>
    <row r="105" spans="1:8" ht="30.75" customHeight="1" x14ac:dyDescent="0.25">
      <c r="A105" s="174" t="s">
        <v>225</v>
      </c>
      <c r="B105" s="174"/>
      <c r="C105" s="174"/>
      <c r="D105" s="153" t="str">
        <f>IF(C16&lt;B7,"Il est possible de recourir à la majoration spéciale de (THRS) de  " &amp;SUMIF('Taux départementaux'!A2:A102,B5,'Taux départementaux'!J2:J102) &amp;" points de taux par an , jusqu'à atteindre un taux de " &amp;B7 &amp;" sans devoir bouger les taux des autres taxes.","Aucune majoration possible")</f>
        <v>Aucune majoration possible</v>
      </c>
      <c r="E105" s="154"/>
      <c r="F105" s="154"/>
      <c r="G105" s="154"/>
      <c r="H105" s="155"/>
    </row>
    <row r="106" spans="1:8" ht="12" customHeight="1" x14ac:dyDescent="0.25">
      <c r="D106" s="21"/>
    </row>
    <row r="107" spans="1:8" ht="20.25" customHeight="1" x14ac:dyDescent="0.25">
      <c r="A107" s="166" t="s">
        <v>197</v>
      </c>
      <c r="B107" s="151" t="s">
        <v>191</v>
      </c>
      <c r="C107" s="152"/>
      <c r="D107" s="153" t="str">
        <f>IF(AND(D64&lt;$D$14,E64&lt;$D$14,F64&lt;$D$14,G64&lt;$D$14,H64&lt;$D$14),"Conforme (pas de dépassement du taux plafonds)","Le taux plafonds de '" &amp;D14 &amp;"' est atteint sur une ou plusieurs années : il y a un risque de non conformité du taux")</f>
        <v>Conforme (pas de dépassement du taux plafonds)</v>
      </c>
      <c r="E107" s="154"/>
      <c r="F107" s="154"/>
      <c r="G107" s="154"/>
      <c r="H107" s="155"/>
    </row>
    <row r="108" spans="1:8" ht="17.25" customHeight="1" x14ac:dyDescent="0.25">
      <c r="A108" s="167"/>
      <c r="B108" s="151" t="s">
        <v>192</v>
      </c>
      <c r="C108" s="152"/>
      <c r="D108" s="153" t="str">
        <f>IF(AND(D68&lt;$D$15,E68&lt;$D$15,F68&lt;$D$15,G68&lt;$D$15,H68&lt;$D$15),"Conforme (pas de dépassement du taux plafonds)","Le taux plafonds de '" &amp;D15 &amp;"' est atteint sur une ou plusieurs années : il y a un risque de non conformité du taux")</f>
        <v>Conforme (pas de dépassement du taux plafonds)</v>
      </c>
      <c r="E108" s="154"/>
      <c r="F108" s="154"/>
      <c r="G108" s="154"/>
      <c r="H108" s="155"/>
    </row>
    <row r="109" spans="1:8" ht="17.25" x14ac:dyDescent="0.25">
      <c r="A109" s="168"/>
      <c r="B109" s="151" t="s">
        <v>193</v>
      </c>
      <c r="C109" s="152"/>
      <c r="D109" s="153" t="str">
        <f>IF(AND(D72&lt;$D$16,E72&lt;$D$16,F72&lt;$D$16,G72&lt;$D$16,H72&lt;$D$16),"Conforme (pas de dépassement du taux plafonds)","Le taux plafonds de '" &amp;D16 &amp;"' est atteint sur une ou plusieurs années : il y a un risque de non conformité du taux")</f>
        <v>Le taux plafonds de '0' est atteint sur une ou plusieurs années : il y a un risque de non conformité du taux</v>
      </c>
      <c r="E109" s="154"/>
      <c r="F109" s="154"/>
      <c r="G109" s="154"/>
      <c r="H109" s="155"/>
    </row>
    <row r="110" spans="1:8" x14ac:dyDescent="0.25">
      <c r="D110" s="21"/>
    </row>
    <row r="111" spans="1:8" x14ac:dyDescent="0.25">
      <c r="D111" s="21"/>
    </row>
    <row r="112" spans="1:8" x14ac:dyDescent="0.25">
      <c r="D112" s="21"/>
    </row>
    <row r="113" spans="4:4" x14ac:dyDescent="0.25">
      <c r="D113" s="21"/>
    </row>
    <row r="114" spans="4:4" x14ac:dyDescent="0.25">
      <c r="D114" s="21"/>
    </row>
    <row r="115" spans="4:4" x14ac:dyDescent="0.25">
      <c r="D115" s="21"/>
    </row>
    <row r="116" spans="4:4" x14ac:dyDescent="0.25">
      <c r="D116" s="21"/>
    </row>
    <row r="117" spans="4:4" x14ac:dyDescent="0.25">
      <c r="D117" s="21"/>
    </row>
    <row r="121" spans="4:4" ht="20.25" x14ac:dyDescent="0.35">
      <c r="D121" s="36"/>
    </row>
    <row r="122" spans="4:4" ht="20.25" x14ac:dyDescent="0.35">
      <c r="D122" s="36"/>
    </row>
  </sheetData>
  <sheetProtection sheet="1" objects="1" scenarios="1"/>
  <mergeCells count="77">
    <mergeCell ref="B108:C108"/>
    <mergeCell ref="D107:H107"/>
    <mergeCell ref="D108:H108"/>
    <mergeCell ref="A52:B52"/>
    <mergeCell ref="A88:B88"/>
    <mergeCell ref="A71:A73"/>
    <mergeCell ref="A78:A80"/>
    <mergeCell ref="A98:C98"/>
    <mergeCell ref="A92:H92"/>
    <mergeCell ref="A100:C100"/>
    <mergeCell ref="A103:C103"/>
    <mergeCell ref="A105:C105"/>
    <mergeCell ref="A97:B97"/>
    <mergeCell ref="G31:H31"/>
    <mergeCell ref="G32:H32"/>
    <mergeCell ref="B109:C109"/>
    <mergeCell ref="D109:H109"/>
    <mergeCell ref="A94:C94"/>
    <mergeCell ref="A82:A83"/>
    <mergeCell ref="A86:B86"/>
    <mergeCell ref="A57:B57"/>
    <mergeCell ref="A63:A65"/>
    <mergeCell ref="A67:A69"/>
    <mergeCell ref="A54:B54"/>
    <mergeCell ref="A55:B55"/>
    <mergeCell ref="D105:H105"/>
    <mergeCell ref="A107:A109"/>
    <mergeCell ref="A43:H43"/>
    <mergeCell ref="B107:C107"/>
    <mergeCell ref="B28:D28"/>
    <mergeCell ref="C39:C42"/>
    <mergeCell ref="A53:B53"/>
    <mergeCell ref="B29:D29"/>
    <mergeCell ref="B30:D30"/>
    <mergeCell ref="B31:D31"/>
    <mergeCell ref="A34:I34"/>
    <mergeCell ref="E31:F31"/>
    <mergeCell ref="E32:F32"/>
    <mergeCell ref="B32:D32"/>
    <mergeCell ref="A39:B39"/>
    <mergeCell ref="A40:B40"/>
    <mergeCell ref="A41:B41"/>
    <mergeCell ref="G28:H28"/>
    <mergeCell ref="G29:H29"/>
    <mergeCell ref="G30:H30"/>
    <mergeCell ref="B5:C5"/>
    <mergeCell ref="B4:C4"/>
    <mergeCell ref="E28:F28"/>
    <mergeCell ref="E29:F29"/>
    <mergeCell ref="E30:F30"/>
    <mergeCell ref="A6:D6"/>
    <mergeCell ref="E13:F13"/>
    <mergeCell ref="E14:F14"/>
    <mergeCell ref="E15:F15"/>
    <mergeCell ref="E16:F16"/>
    <mergeCell ref="D17:F17"/>
    <mergeCell ref="B19:D19"/>
    <mergeCell ref="A12:I12"/>
    <mergeCell ref="A27:I27"/>
    <mergeCell ref="B20:D20"/>
    <mergeCell ref="B21:D21"/>
    <mergeCell ref="J16:L16"/>
    <mergeCell ref="A10:G10"/>
    <mergeCell ref="A11:G11"/>
    <mergeCell ref="A18:I18"/>
    <mergeCell ref="A95:C95"/>
    <mergeCell ref="A35:B36"/>
    <mergeCell ref="A42:B42"/>
    <mergeCell ref="A38:B38"/>
    <mergeCell ref="A58:C58"/>
    <mergeCell ref="A91:I91"/>
    <mergeCell ref="A45:I45"/>
    <mergeCell ref="A49:B50"/>
    <mergeCell ref="A61:I61"/>
    <mergeCell ref="A93:C93"/>
    <mergeCell ref="B22:D22"/>
    <mergeCell ref="B23:D23"/>
  </mergeCells>
  <dataValidations count="8">
    <dataValidation type="list" allowBlank="1" showInputMessage="1" showErrorMessage="1" sqref="E6" xr:uid="{242D5C1A-07A3-4E4F-B23F-2B6D1D5A47A5}">
      <formula1>$D$7:$E$7</formula1>
    </dataValidation>
    <dataValidation type="list" allowBlank="1" showInputMessage="1" showErrorMessage="1" sqref="B46" xr:uid="{95F65192-7D0F-49CB-9F1D-3163759E7F17}">
      <formula1>$A$47:$B$47</formula1>
    </dataValidation>
    <dataValidation type="decimal" errorStyle="warning" allowBlank="1" showInputMessage="1" showErrorMessage="1" errorTitle="Saisie non conforme " error="La majoration de THRS ne peut dépasser 60% (elle ne concerne que les Communes en zone tendue)." sqref="C75:H75" xr:uid="{9A7BEFEB-C1B1-4F66-A564-73F320635C51}">
      <formula1>0</formula1>
      <formula2>0.6</formula2>
    </dataValidation>
    <dataValidation type="decimal" errorStyle="warning" allowBlank="1" showInputMessage="1" showErrorMessage="1" errorTitle="Saisie non conforme " error="La majoration de TVLH ne peut dépasser 30% (elle ne concerne que les Communes en zone tendue)." sqref="C82:H82" xr:uid="{0742F992-1335-4FDD-AB08-1D75BD630C6A}">
      <formula1>0</formula1>
      <formula2>0.3</formula2>
    </dataValidation>
    <dataValidation type="decimal" errorStyle="warning" allowBlank="1" showInputMessage="1" showErrorMessage="1" errorTitle="Dépassement du taux plafonds " error="Le taux de la TVLH ne peut dépasser 50% en zone non-tendue et 3_x000a_4% en zone tendue" sqref="D57:H57" xr:uid="{FFEB24B9-EC17-4FE6-AFC6-46CBAE92E0EC}">
      <formula1>0</formula1>
      <formula2>50</formula2>
    </dataValidation>
    <dataValidation type="decimal" allowBlank="1" showInputMessage="1" showErrorMessage="1" sqref="C79:H79" xr:uid="{518ACA52-2825-4393-8060-D4F3E5144CEA}">
      <formula1>0</formula1>
      <formula2>50</formula2>
    </dataValidation>
    <dataValidation type="decimal" errorStyle="information" allowBlank="1" showErrorMessage="1" errorTitle="Attention Taux plafonds" sqref="C64" xr:uid="{4A15FBF4-610E-4885-852B-02D324F2C90F}">
      <formula1>0</formula1>
      <formula2>D14</formula2>
    </dataValidation>
    <dataValidation type="decimal" errorStyle="warning" allowBlank="1" showInputMessage="1" showErrorMessage="1" errorTitle="Format du taux" error="Le taux doit être saisi en format n&quot;ombre décimal&quot; exemple : &quot;45,55&quot;" sqref="C14:C17" xr:uid="{7D243C9A-13FA-40B8-89CB-9379DCA7163C}">
      <formula1>0</formula1>
      <formula2>200</formula2>
    </dataValidation>
  </dataValidations>
  <hyperlinks>
    <hyperlink ref="H21" r:id="rId1" display="https://www.legifrance.gouv.fr/codes/article_lc/LEGIARTI000031599676/2026-05-28" xr:uid="{BDBB2C77-2C63-4E97-848C-D07A3B18D2D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ECE2D7-93CD-4598-951F-41E4421ED662}">
          <x14:formula1>
            <xm:f>'Taux départementaux'!$A$2:$A$102</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DE0D-EFD5-4F2C-8A09-8BB1DE5A9078}">
  <sheetPr>
    <pageSetUpPr fitToPage="1"/>
  </sheetPr>
  <dimension ref="A2:I17"/>
  <sheetViews>
    <sheetView workbookViewId="0">
      <selection activeCell="A3" sqref="A3:C3"/>
    </sheetView>
  </sheetViews>
  <sheetFormatPr baseColWidth="10" defaultRowHeight="14.25" x14ac:dyDescent="0.25"/>
  <cols>
    <col min="1" max="1" width="49.42578125" style="5" customWidth="1"/>
    <col min="2" max="7" width="11.42578125" style="5"/>
    <col min="8" max="8" width="21.5703125" style="5" customWidth="1"/>
    <col min="9" max="16384" width="11.42578125" style="5"/>
  </cols>
  <sheetData>
    <row r="2" spans="1:9" ht="16.5" x14ac:dyDescent="0.3">
      <c r="A2" s="124" t="str">
        <f>UPPER("Récapitulatif de l'évolution des produits")</f>
        <v>RÉCAPITULATIF DE L'ÉVOLUTION DES PRODUITS</v>
      </c>
      <c r="B2" s="124"/>
      <c r="C2" s="124"/>
      <c r="D2" s="124"/>
      <c r="E2" s="124"/>
      <c r="F2" s="124"/>
      <c r="G2" s="124"/>
      <c r="H2" s="124"/>
      <c r="I2" s="124"/>
    </row>
    <row r="3" spans="1:9" ht="15.75" customHeight="1" thickBot="1" x14ac:dyDescent="0.3">
      <c r="A3" s="177" t="str">
        <f>"Nom de la Commune : " &amp;'1_Simulation produit communal'!B4</f>
        <v xml:space="preserve">Nom de la Commune : </v>
      </c>
      <c r="B3" s="177"/>
      <c r="C3" s="177"/>
    </row>
    <row r="4" spans="1:9" ht="30" customHeight="1" thickBot="1" x14ac:dyDescent="0.3">
      <c r="A4" s="60" t="str">
        <f>UPPER("Synthèse/résultat")</f>
        <v>SYNTHÈSE/RÉSULTAT</v>
      </c>
      <c r="B4" s="61">
        <v>2026</v>
      </c>
      <c r="C4" s="61">
        <v>2027</v>
      </c>
      <c r="D4" s="61">
        <v>2028</v>
      </c>
      <c r="E4" s="61">
        <v>2029</v>
      </c>
      <c r="F4" s="61">
        <v>2030</v>
      </c>
      <c r="G4" s="61">
        <v>2031</v>
      </c>
      <c r="H4" s="53" t="s">
        <v>226</v>
      </c>
    </row>
    <row r="5" spans="1:9" x14ac:dyDescent="0.25">
      <c r="A5" s="55" t="s">
        <v>118</v>
      </c>
      <c r="B5" s="22">
        <f>'1_Simulation produit communal'!C65</f>
        <v>0</v>
      </c>
      <c r="C5" s="22">
        <f>'1_Simulation produit communal'!D65</f>
        <v>0</v>
      </c>
      <c r="D5" s="22">
        <f>'1_Simulation produit communal'!E65</f>
        <v>0</v>
      </c>
      <c r="E5" s="22">
        <f>'1_Simulation produit communal'!F65</f>
        <v>0</v>
      </c>
      <c r="F5" s="22">
        <f>'1_Simulation produit communal'!G65</f>
        <v>0</v>
      </c>
      <c r="G5" s="22">
        <f>'1_Simulation produit communal'!H65</f>
        <v>0</v>
      </c>
      <c r="H5" s="22">
        <f>G5-B5</f>
        <v>0</v>
      </c>
    </row>
    <row r="6" spans="1:9" ht="15" thickBot="1" x14ac:dyDescent="0.3">
      <c r="A6" s="83" t="s">
        <v>164</v>
      </c>
      <c r="B6" s="91"/>
      <c r="C6" s="92">
        <f>IFERROR(((C5-B5)/B5),0)</f>
        <v>0</v>
      </c>
      <c r="D6" s="92">
        <f t="shared" ref="D6:G6" si="0">IFERROR(((D5-C5)/C5),0)</f>
        <v>0</v>
      </c>
      <c r="E6" s="92">
        <f t="shared" si="0"/>
        <v>0</v>
      </c>
      <c r="F6" s="92">
        <f t="shared" si="0"/>
        <v>0</v>
      </c>
      <c r="G6" s="92">
        <f t="shared" si="0"/>
        <v>0</v>
      </c>
      <c r="H6" s="92" t="e">
        <f>H5/B5</f>
        <v>#DIV/0!</v>
      </c>
    </row>
    <row r="7" spans="1:9" x14ac:dyDescent="0.25">
      <c r="A7" s="56" t="s">
        <v>160</v>
      </c>
      <c r="B7" s="22">
        <f>'1_Simulation produit communal'!C69</f>
        <v>0</v>
      </c>
      <c r="C7" s="22">
        <f>'1_Simulation produit communal'!D69</f>
        <v>0</v>
      </c>
      <c r="D7" s="22">
        <f>'1_Simulation produit communal'!E69</f>
        <v>0</v>
      </c>
      <c r="E7" s="22">
        <f>'1_Simulation produit communal'!F69</f>
        <v>0</v>
      </c>
      <c r="F7" s="22">
        <f>'1_Simulation produit communal'!G69</f>
        <v>0</v>
      </c>
      <c r="G7" s="22">
        <f>'1_Simulation produit communal'!H69</f>
        <v>0</v>
      </c>
      <c r="H7" s="22">
        <f>G7-B7</f>
        <v>0</v>
      </c>
    </row>
    <row r="8" spans="1:9" ht="15.75" customHeight="1" thickBot="1" x14ac:dyDescent="0.3">
      <c r="A8" s="84" t="s">
        <v>164</v>
      </c>
      <c r="B8" s="91"/>
      <c r="C8" s="92">
        <f>IFERROR((C7-B7)/B7,0)</f>
        <v>0</v>
      </c>
      <c r="D8" s="92">
        <f t="shared" ref="D8:G8" si="1">IFERROR((D7-C7)/C7,0)</f>
        <v>0</v>
      </c>
      <c r="E8" s="92">
        <f t="shared" si="1"/>
        <v>0</v>
      </c>
      <c r="F8" s="92">
        <f t="shared" si="1"/>
        <v>0</v>
      </c>
      <c r="G8" s="92">
        <f t="shared" si="1"/>
        <v>0</v>
      </c>
      <c r="H8" s="92" t="e">
        <f>H7/B7</f>
        <v>#DIV/0!</v>
      </c>
    </row>
    <row r="9" spans="1:9" ht="15" customHeight="1" x14ac:dyDescent="0.25">
      <c r="A9" s="57" t="s">
        <v>158</v>
      </c>
      <c r="B9" s="22">
        <f>'1_Simulation produit communal'!C73+'1_Simulation produit communal'!C76</f>
        <v>0</v>
      </c>
      <c r="C9" s="22">
        <f>'1_Simulation produit communal'!D73+'1_Simulation produit communal'!D76</f>
        <v>0</v>
      </c>
      <c r="D9" s="22">
        <f>'1_Simulation produit communal'!E73+'1_Simulation produit communal'!E76</f>
        <v>0</v>
      </c>
      <c r="E9" s="22">
        <f>'1_Simulation produit communal'!F73+'1_Simulation produit communal'!F76</f>
        <v>0</v>
      </c>
      <c r="F9" s="22">
        <f>'1_Simulation produit communal'!G73+'1_Simulation produit communal'!G76</f>
        <v>0</v>
      </c>
      <c r="G9" s="22">
        <f>'1_Simulation produit communal'!H73+'1_Simulation produit communal'!H76</f>
        <v>0</v>
      </c>
      <c r="H9" s="22">
        <f>G9-B9</f>
        <v>0</v>
      </c>
    </row>
    <row r="10" spans="1:9" ht="15.75" customHeight="1" thickBot="1" x14ac:dyDescent="0.3">
      <c r="A10" s="84" t="s">
        <v>164</v>
      </c>
      <c r="B10" s="91"/>
      <c r="C10" s="92">
        <f>IFERROR((C9-B9)/B9,0)</f>
        <v>0</v>
      </c>
      <c r="D10" s="92">
        <f t="shared" ref="D10:G10" si="2">IFERROR((D9-C9)/C9,0)</f>
        <v>0</v>
      </c>
      <c r="E10" s="92">
        <f t="shared" si="2"/>
        <v>0</v>
      </c>
      <c r="F10" s="92">
        <f t="shared" si="2"/>
        <v>0</v>
      </c>
      <c r="G10" s="92">
        <f t="shared" si="2"/>
        <v>0</v>
      </c>
      <c r="H10" s="92" t="e">
        <f>H9/B9</f>
        <v>#DIV/0!</v>
      </c>
    </row>
    <row r="11" spans="1:9" x14ac:dyDescent="0.25">
      <c r="A11" s="56" t="s">
        <v>161</v>
      </c>
      <c r="B11" s="22">
        <f>'1_Simulation produit communal'!C80+'1_Simulation produit communal'!C83</f>
        <v>0</v>
      </c>
      <c r="C11" s="22">
        <f>'1_Simulation produit communal'!D80+'1_Simulation produit communal'!D83</f>
        <v>0</v>
      </c>
      <c r="D11" s="22">
        <f>'1_Simulation produit communal'!E80+'1_Simulation produit communal'!E83</f>
        <v>0</v>
      </c>
      <c r="E11" s="22">
        <f>'1_Simulation produit communal'!F80+'1_Simulation produit communal'!F83</f>
        <v>0</v>
      </c>
      <c r="F11" s="22">
        <f>'1_Simulation produit communal'!G80+'1_Simulation produit communal'!G83</f>
        <v>0</v>
      </c>
      <c r="G11" s="22">
        <f>'1_Simulation produit communal'!H80+'1_Simulation produit communal'!H83</f>
        <v>0</v>
      </c>
      <c r="H11" s="22">
        <f>G11-B11</f>
        <v>0</v>
      </c>
    </row>
    <row r="12" spans="1:9" ht="15" thickBot="1" x14ac:dyDescent="0.3">
      <c r="A12" s="84" t="s">
        <v>164</v>
      </c>
      <c r="B12" s="91"/>
      <c r="C12" s="92">
        <f>IFERROR((C11-B11)/B11,0)</f>
        <v>0</v>
      </c>
      <c r="D12" s="92">
        <f t="shared" ref="D12:G12" si="3">IFERROR((D11-C11)/C11,0)</f>
        <v>0</v>
      </c>
      <c r="E12" s="92">
        <f t="shared" si="3"/>
        <v>0</v>
      </c>
      <c r="F12" s="92">
        <f t="shared" si="3"/>
        <v>0</v>
      </c>
      <c r="G12" s="92">
        <f t="shared" si="3"/>
        <v>0</v>
      </c>
      <c r="H12" s="92" t="e">
        <f>H11/B11</f>
        <v>#DIV/0!</v>
      </c>
    </row>
    <row r="13" spans="1:9" x14ac:dyDescent="0.25">
      <c r="A13" s="56" t="s">
        <v>200</v>
      </c>
      <c r="B13" s="22">
        <f>'1_Simulation produit communal'!C86</f>
        <v>0</v>
      </c>
      <c r="C13" s="22" t="str">
        <f>'1_Simulation produit communal'!D86</f>
        <v>Saisir étape 3</v>
      </c>
      <c r="D13" s="22" t="str">
        <f>'1_Simulation produit communal'!E86</f>
        <v>Saisir étape 3</v>
      </c>
      <c r="E13" s="22" t="str">
        <f>'1_Simulation produit communal'!F86</f>
        <v>Saisir étape 3</v>
      </c>
      <c r="F13" s="22" t="str">
        <f>'1_Simulation produit communal'!G86</f>
        <v>Saisir étape 3</v>
      </c>
      <c r="G13" s="22" t="str">
        <f>'1_Simulation produit communal'!H86</f>
        <v>Saisir étape 3</v>
      </c>
      <c r="H13" s="22" t="e">
        <f>G13-B13</f>
        <v>#VALUE!</v>
      </c>
    </row>
    <row r="14" spans="1:9" ht="15" thickBot="1" x14ac:dyDescent="0.3">
      <c r="A14" s="84" t="s">
        <v>164</v>
      </c>
      <c r="B14" s="91"/>
      <c r="C14" s="92">
        <f>IFERROR((C13-B13)/B13,0)</f>
        <v>0</v>
      </c>
      <c r="D14" s="92">
        <f t="shared" ref="D14" si="4">IFERROR((D13-C13)/C13,0)</f>
        <v>0</v>
      </c>
      <c r="E14" s="92">
        <f t="shared" ref="E14" si="5">IFERROR((E13-D13)/D13,0)</f>
        <v>0</v>
      </c>
      <c r="F14" s="92">
        <f t="shared" ref="F14" si="6">IFERROR((F13-E13)/E13,0)</f>
        <v>0</v>
      </c>
      <c r="G14" s="92">
        <f t="shared" ref="G14" si="7">IFERROR((G13-F13)/F13,0)</f>
        <v>0</v>
      </c>
      <c r="H14" s="92" t="e">
        <f>H13/B13</f>
        <v>#VALUE!</v>
      </c>
    </row>
    <row r="15" spans="1:9" x14ac:dyDescent="0.25">
      <c r="A15" s="58" t="s">
        <v>163</v>
      </c>
      <c r="B15" s="51">
        <f>SUM(B5:B13)</f>
        <v>0</v>
      </c>
      <c r="C15" s="51" t="e">
        <f>C5+C7+C9+C11+C13</f>
        <v>#VALUE!</v>
      </c>
      <c r="D15" s="51" t="e">
        <f t="shared" ref="D15:G15" si="8">D5+D7+D9+D11+D13</f>
        <v>#VALUE!</v>
      </c>
      <c r="E15" s="51" t="e">
        <f t="shared" si="8"/>
        <v>#VALUE!</v>
      </c>
      <c r="F15" s="51" t="e">
        <f t="shared" si="8"/>
        <v>#VALUE!</v>
      </c>
      <c r="G15" s="51" t="e">
        <f t="shared" si="8"/>
        <v>#VALUE!</v>
      </c>
      <c r="H15" s="54" t="e">
        <f>G15-B15</f>
        <v>#VALUE!</v>
      </c>
    </row>
    <row r="16" spans="1:9" x14ac:dyDescent="0.25">
      <c r="A16" s="59" t="s">
        <v>187</v>
      </c>
      <c r="B16" s="52"/>
      <c r="C16" s="52" t="e">
        <f>C15-B15</f>
        <v>#VALUE!</v>
      </c>
      <c r="D16" s="52" t="e">
        <f t="shared" ref="D16:G16" si="9">D15-C15</f>
        <v>#VALUE!</v>
      </c>
      <c r="E16" s="52" t="e">
        <f t="shared" si="9"/>
        <v>#VALUE!</v>
      </c>
      <c r="F16" s="52" t="e">
        <f t="shared" si="9"/>
        <v>#VALUE!</v>
      </c>
      <c r="G16" s="52" t="e">
        <f t="shared" si="9"/>
        <v>#VALUE!</v>
      </c>
      <c r="H16" s="175" t="e">
        <f>H15/B15</f>
        <v>#VALUE!</v>
      </c>
    </row>
    <row r="17" spans="1:8" s="49" customFormat="1" ht="15.75" customHeight="1" thickBot="1" x14ac:dyDescent="0.3">
      <c r="A17" s="84" t="s">
        <v>186</v>
      </c>
      <c r="B17" s="91"/>
      <c r="C17" s="92">
        <f>IFERROR((C15-B15)/B15,0)</f>
        <v>0</v>
      </c>
      <c r="D17" s="92">
        <f t="shared" ref="D17:G17" si="10">IFERROR((D15-C15)/C15,0)</f>
        <v>0</v>
      </c>
      <c r="E17" s="92">
        <f t="shared" si="10"/>
        <v>0</v>
      </c>
      <c r="F17" s="92">
        <f t="shared" si="10"/>
        <v>0</v>
      </c>
      <c r="G17" s="92">
        <f t="shared" si="10"/>
        <v>0</v>
      </c>
      <c r="H17" s="176"/>
    </row>
  </sheetData>
  <sheetProtection sheet="1" objects="1" scenarios="1"/>
  <mergeCells count="3">
    <mergeCell ref="A2:I2"/>
    <mergeCell ref="H16:H17"/>
    <mergeCell ref="A3:C3"/>
  </mergeCells>
  <pageMargins left="0.25" right="0.25"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E82D-5330-4961-9C5E-99FDF2964E94}">
  <dimension ref="A1:H52"/>
  <sheetViews>
    <sheetView topLeftCell="A14" workbookViewId="0">
      <selection activeCell="C17" sqref="C17"/>
    </sheetView>
  </sheetViews>
  <sheetFormatPr baseColWidth="10" defaultRowHeight="14.25" x14ac:dyDescent="0.25"/>
  <cols>
    <col min="1" max="1" width="42" style="5" customWidth="1"/>
    <col min="2" max="2" width="13" style="5" customWidth="1"/>
    <col min="3" max="3" width="20.7109375" style="5" customWidth="1"/>
    <col min="4" max="4" width="19.42578125" style="5" customWidth="1"/>
    <col min="5" max="5" width="21.140625" style="5" customWidth="1"/>
    <col min="6" max="6" width="20.140625" style="5" customWidth="1"/>
    <col min="7" max="7" width="11.42578125" style="5"/>
    <col min="8" max="8" width="14.42578125" style="5" customWidth="1"/>
    <col min="9" max="16384" width="11.42578125" style="5"/>
  </cols>
  <sheetData>
    <row r="1" spans="1:8" ht="16.5" x14ac:dyDescent="0.3">
      <c r="A1" s="181" t="str">
        <f>UPPER("Simulation de l'impact sur le contribuable")</f>
        <v>SIMULATION DE L'IMPACT SUR LE CONTRIBUABLE</v>
      </c>
      <c r="B1" s="182"/>
      <c r="C1" s="182"/>
      <c r="D1" s="182"/>
      <c r="E1" s="182"/>
      <c r="F1" s="182"/>
      <c r="G1" s="182"/>
      <c r="H1" s="183"/>
    </row>
    <row r="3" spans="1:8" x14ac:dyDescent="0.25">
      <c r="A3" s="82" t="s">
        <v>218</v>
      </c>
      <c r="B3" s="67"/>
      <c r="C3" s="5" t="s">
        <v>227</v>
      </c>
    </row>
    <row r="4" spans="1:8" hidden="1" x14ac:dyDescent="0.25">
      <c r="A4" s="5">
        <v>2025</v>
      </c>
      <c r="B4" s="5">
        <v>2026</v>
      </c>
    </row>
    <row r="6" spans="1:8" x14ac:dyDescent="0.25">
      <c r="A6" s="27" t="s">
        <v>170</v>
      </c>
      <c r="B6" s="27" t="s">
        <v>168</v>
      </c>
      <c r="C6" s="27" t="s">
        <v>169</v>
      </c>
      <c r="D6" s="5" t="s">
        <v>171</v>
      </c>
    </row>
    <row r="7" spans="1:8" x14ac:dyDescent="0.25">
      <c r="A7" s="101" t="s">
        <v>118</v>
      </c>
      <c r="B7" s="34"/>
      <c r="C7" s="62">
        <f>'1_Simulation produit communal'!C14</f>
        <v>0</v>
      </c>
    </row>
    <row r="8" spans="1:8" x14ac:dyDescent="0.25">
      <c r="A8" s="101" t="s">
        <v>160</v>
      </c>
      <c r="B8" s="34"/>
      <c r="C8" s="62">
        <f>'1_Simulation produit communal'!C15</f>
        <v>0</v>
      </c>
    </row>
    <row r="9" spans="1:8" ht="28.5" x14ac:dyDescent="0.25">
      <c r="A9" s="101" t="s">
        <v>158</v>
      </c>
      <c r="B9" s="34"/>
      <c r="C9" s="62">
        <f>'1_Simulation produit communal'!C16</f>
        <v>0</v>
      </c>
    </row>
    <row r="10" spans="1:8" ht="28.5" x14ac:dyDescent="0.25">
      <c r="A10" s="101" t="s">
        <v>161</v>
      </c>
      <c r="B10" s="34"/>
      <c r="C10" s="62">
        <f>'1_Simulation produit communal'!C17</f>
        <v>0</v>
      </c>
    </row>
    <row r="12" spans="1:8" x14ac:dyDescent="0.25">
      <c r="A12" s="87" t="s">
        <v>201</v>
      </c>
      <c r="B12" s="180"/>
      <c r="C12" s="180"/>
      <c r="D12" s="180"/>
    </row>
    <row r="13" spans="1:8" ht="16.5" customHeight="1" x14ac:dyDescent="0.25">
      <c r="A13" s="188" t="s">
        <v>221</v>
      </c>
      <c r="B13" s="188"/>
      <c r="C13" s="188"/>
      <c r="D13" s="188"/>
      <c r="E13" s="188"/>
      <c r="F13" s="188"/>
    </row>
    <row r="14" spans="1:8" ht="43.5" customHeight="1" x14ac:dyDescent="0.25">
      <c r="A14" s="97" t="s">
        <v>202</v>
      </c>
      <c r="B14" s="184" t="s">
        <v>203</v>
      </c>
      <c r="C14" s="185"/>
      <c r="D14" s="98" t="str">
        <f>"Total contribution " &amp;B3 &amp;" (total de l'avis d'impôt)"</f>
        <v>Total contribution  (total de l'avis d'impôt)</v>
      </c>
      <c r="E14" s="98" t="str">
        <f>"Montant part communale " &amp;B3</f>
        <v xml:space="preserve">Montant part communale </v>
      </c>
      <c r="F14" s="98" t="str">
        <f>"Frais de gestion DGFIP " &amp;B3</f>
        <v xml:space="preserve">Frais de gestion DGFIP </v>
      </c>
    </row>
    <row r="15" spans="1:8" x14ac:dyDescent="0.25">
      <c r="A15" s="32"/>
      <c r="B15" s="186"/>
      <c r="C15" s="187"/>
      <c r="D15" s="33"/>
      <c r="E15" s="33"/>
      <c r="F15" s="33"/>
    </row>
    <row r="16" spans="1:8" x14ac:dyDescent="0.25">
      <c r="D16" s="189" t="s">
        <v>204</v>
      </c>
      <c r="E16" s="189"/>
      <c r="F16" s="189"/>
      <c r="G16" s="189"/>
    </row>
    <row r="17" spans="1:8" ht="21.75" customHeight="1" x14ac:dyDescent="0.25">
      <c r="D17" s="86" t="s">
        <v>219</v>
      </c>
      <c r="E17" s="85"/>
    </row>
    <row r="18" spans="1:8" ht="33" customHeight="1" x14ac:dyDescent="0.25">
      <c r="A18" s="25" t="s">
        <v>167</v>
      </c>
      <c r="B18" s="66">
        <v>2026</v>
      </c>
      <c r="C18" s="66">
        <v>2027</v>
      </c>
      <c r="D18" s="66">
        <v>2028</v>
      </c>
      <c r="E18" s="66">
        <v>2029</v>
      </c>
      <c r="F18" s="66">
        <v>2030</v>
      </c>
      <c r="G18" s="66">
        <v>2031</v>
      </c>
      <c r="H18" s="37" t="s">
        <v>220</v>
      </c>
    </row>
    <row r="19" spans="1:8" x14ac:dyDescent="0.25">
      <c r="A19" s="101" t="str">
        <f>B12 &amp;IF($B$12="Taxe d'habitation sur les résidences secondaires (THRS)"," dont majoration",IF($B$12="Taxe sur la vacance des locaux d'habitation (TVLH)"," dont majoration",""))</f>
        <v/>
      </c>
      <c r="B19" s="68" t="e">
        <f>B31+B32</f>
        <v>#DIV/0!</v>
      </c>
      <c r="C19" s="68" t="e">
        <f t="shared" ref="C19:G19" si="0">C31+C32</f>
        <v>#DIV/0!</v>
      </c>
      <c r="D19" s="68" t="e">
        <f t="shared" si="0"/>
        <v>#DIV/0!</v>
      </c>
      <c r="E19" s="68" t="e">
        <f t="shared" si="0"/>
        <v>#DIV/0!</v>
      </c>
      <c r="F19" s="68" t="e">
        <f t="shared" si="0"/>
        <v>#DIV/0!</v>
      </c>
      <c r="G19" s="68" t="e">
        <f t="shared" si="0"/>
        <v>#DIV/0!</v>
      </c>
      <c r="H19" s="178" t="e">
        <f>G20+F20+E20+D20+C20</f>
        <v>#DIV/0!</v>
      </c>
    </row>
    <row r="20" spans="1:8" x14ac:dyDescent="0.25">
      <c r="A20" s="102" t="s">
        <v>172</v>
      </c>
      <c r="B20" s="68" t="e">
        <f>B19-(((B23/(1+'1_Simulation produit communal'!C36))*(SUMIF($A$7:$A$10,$B$12,B7:B10)/100))+B42)</f>
        <v>#DIV/0!</v>
      </c>
      <c r="C20" s="68" t="e">
        <f>C19-B19</f>
        <v>#DIV/0!</v>
      </c>
      <c r="D20" s="68" t="e">
        <f t="shared" ref="D20:G20" si="1">D19-C19</f>
        <v>#DIV/0!</v>
      </c>
      <c r="E20" s="68" t="e">
        <f t="shared" si="1"/>
        <v>#DIV/0!</v>
      </c>
      <c r="F20" s="68" t="e">
        <f t="shared" si="1"/>
        <v>#DIV/0!</v>
      </c>
      <c r="G20" s="68" t="e">
        <f t="shared" si="1"/>
        <v>#DIV/0!</v>
      </c>
      <c r="H20" s="179"/>
    </row>
    <row r="22" spans="1:8" ht="35.25" customHeight="1" x14ac:dyDescent="0.25">
      <c r="A22" s="65" t="s">
        <v>207</v>
      </c>
      <c r="B22" s="66">
        <v>2026</v>
      </c>
      <c r="C22" s="66">
        <v>2027</v>
      </c>
      <c r="D22" s="66">
        <v>2028</v>
      </c>
      <c r="E22" s="66">
        <v>2029</v>
      </c>
      <c r="F22" s="66">
        <v>2030</v>
      </c>
      <c r="G22" s="66">
        <v>2031</v>
      </c>
      <c r="H22" s="37" t="s">
        <v>220</v>
      </c>
    </row>
    <row r="23" spans="1:8" x14ac:dyDescent="0.25">
      <c r="A23" s="102" t="s">
        <v>166</v>
      </c>
      <c r="B23" s="69" t="e">
        <f>IF(B3=2025,((E15-B42)/(SUMIF($A$7:$A$10,$B$12,B7:B10)/100))*(1+'1_Simulation produit communal'!C36),(E15-B42)/(B24/100))</f>
        <v>#DIV/0!</v>
      </c>
      <c r="C23" s="69" t="e">
        <f>B23*(1+'1_Simulation produit communal'!D36)</f>
        <v>#DIV/0!</v>
      </c>
      <c r="D23" s="69" t="e">
        <f>C23*(1+'1_Simulation produit communal'!E36)</f>
        <v>#DIV/0!</v>
      </c>
      <c r="E23" s="69" t="e">
        <f>D23*(1+'1_Simulation produit communal'!F36)</f>
        <v>#DIV/0!</v>
      </c>
      <c r="F23" s="69" t="e">
        <f>E23*(1+'1_Simulation produit communal'!G36)</f>
        <v>#DIV/0!</v>
      </c>
      <c r="G23" s="69" t="e">
        <f>F23*(1+'1_Simulation produit communal'!H36)</f>
        <v>#DIV/0!</v>
      </c>
      <c r="H23" s="70" t="e">
        <f>G23-B23</f>
        <v>#DIV/0!</v>
      </c>
    </row>
    <row r="24" spans="1:8" x14ac:dyDescent="0.25">
      <c r="A24" s="102" t="s">
        <v>229</v>
      </c>
      <c r="B24" s="62">
        <f t="shared" ref="B24:G24" si="2">SUMIF($A$37:$A$40,$B$12,B37:B40)</f>
        <v>0</v>
      </c>
      <c r="C24" s="62">
        <f t="shared" si="2"/>
        <v>0</v>
      </c>
      <c r="D24" s="62">
        <f t="shared" si="2"/>
        <v>0</v>
      </c>
      <c r="E24" s="62">
        <f t="shared" si="2"/>
        <v>0</v>
      </c>
      <c r="F24" s="62">
        <f t="shared" si="2"/>
        <v>0</v>
      </c>
      <c r="G24" s="62">
        <f t="shared" si="2"/>
        <v>0</v>
      </c>
      <c r="H24" s="78" t="e">
        <f>(G24-B24)/B24</f>
        <v>#DIV/0!</v>
      </c>
    </row>
    <row r="25" spans="1:8" x14ac:dyDescent="0.25">
      <c r="A25" s="102" t="s">
        <v>206</v>
      </c>
      <c r="B25" s="62" t="e">
        <f>((D15-E15-F15)/B23)*100</f>
        <v>#DIV/0!</v>
      </c>
      <c r="C25" s="62" t="e">
        <f>B27</f>
        <v>#DIV/0!</v>
      </c>
      <c r="D25" s="62" t="e">
        <f t="shared" ref="D25:G25" si="3">C27</f>
        <v>#DIV/0!</v>
      </c>
      <c r="E25" s="62" t="e">
        <f t="shared" si="3"/>
        <v>#DIV/0!</v>
      </c>
      <c r="F25" s="62" t="e">
        <f t="shared" si="3"/>
        <v>#DIV/0!</v>
      </c>
      <c r="G25" s="62" t="e">
        <f t="shared" si="3"/>
        <v>#DIV/0!</v>
      </c>
      <c r="H25" s="26"/>
    </row>
    <row r="26" spans="1:8" x14ac:dyDescent="0.25">
      <c r="A26" s="104" t="s">
        <v>228</v>
      </c>
      <c r="B26" s="34"/>
      <c r="C26" s="34"/>
      <c r="D26" s="34"/>
      <c r="E26" s="34"/>
      <c r="F26" s="34"/>
      <c r="G26" s="34"/>
      <c r="H26" s="26"/>
    </row>
    <row r="27" spans="1:8" x14ac:dyDescent="0.25">
      <c r="A27" s="102" t="s">
        <v>208</v>
      </c>
      <c r="B27" s="62" t="e">
        <f>B25+B26</f>
        <v>#DIV/0!</v>
      </c>
      <c r="C27" s="62" t="e">
        <f>C25+C26</f>
        <v>#DIV/0!</v>
      </c>
      <c r="D27" s="62" t="e">
        <f t="shared" ref="D27:G27" si="4">D25+D26</f>
        <v>#DIV/0!</v>
      </c>
      <c r="E27" s="62" t="e">
        <f t="shared" si="4"/>
        <v>#DIV/0!</v>
      </c>
      <c r="F27" s="62" t="e">
        <f t="shared" si="4"/>
        <v>#DIV/0!</v>
      </c>
      <c r="G27" s="62" t="e">
        <f t="shared" si="4"/>
        <v>#DIV/0!</v>
      </c>
      <c r="H27" s="78" t="e">
        <f>(G27-B27)/B27</f>
        <v>#DIV/0!</v>
      </c>
    </row>
    <row r="28" spans="1:8" x14ac:dyDescent="0.25">
      <c r="A28" s="5" t="s">
        <v>213</v>
      </c>
      <c r="B28" s="6"/>
    </row>
    <row r="29" spans="1:8" ht="15" customHeight="1" x14ac:dyDescent="0.25">
      <c r="B29" s="6"/>
      <c r="C29" s="6"/>
    </row>
    <row r="30" spans="1:8" ht="35.25" customHeight="1" x14ac:dyDescent="0.25">
      <c r="A30" s="24" t="s">
        <v>205</v>
      </c>
      <c r="B30" s="66">
        <v>2026</v>
      </c>
      <c r="C30" s="66">
        <v>2027</v>
      </c>
      <c r="D30" s="66">
        <v>2028</v>
      </c>
      <c r="E30" s="66">
        <v>2029</v>
      </c>
      <c r="F30" s="66">
        <v>2030</v>
      </c>
      <c r="G30" s="66">
        <v>2031</v>
      </c>
      <c r="H30" s="37" t="s">
        <v>220</v>
      </c>
    </row>
    <row r="31" spans="1:8" x14ac:dyDescent="0.25">
      <c r="A31" s="102" t="s">
        <v>233</v>
      </c>
      <c r="B31" s="68" t="e">
        <f>B23*B24/100</f>
        <v>#DIV/0!</v>
      </c>
      <c r="C31" s="68" t="e">
        <f t="shared" ref="C31:G31" si="5">C23*C24/100</f>
        <v>#DIV/0!</v>
      </c>
      <c r="D31" s="68" t="e">
        <f t="shared" si="5"/>
        <v>#DIV/0!</v>
      </c>
      <c r="E31" s="68" t="e">
        <f t="shared" si="5"/>
        <v>#DIV/0!</v>
      </c>
      <c r="F31" s="68" t="e">
        <f t="shared" si="5"/>
        <v>#DIV/0!</v>
      </c>
      <c r="G31" s="68" t="e">
        <f t="shared" si="5"/>
        <v>#DIV/0!</v>
      </c>
      <c r="H31" s="79" t="e">
        <f>G31-B31</f>
        <v>#DIV/0!</v>
      </c>
    </row>
    <row r="32" spans="1:8" x14ac:dyDescent="0.25">
      <c r="A32" s="102" t="str">
        <f>IF($B$12="Taxe d'habitation sur les résidences secondaires (THRS)","Montant majoration part communale",IF($B$12="Taxe sur la vacance des locaux d'habitation (TVLH)","Montant majoration par communale","Montant majoration (non concerné)"))</f>
        <v>Montant majoration (non concerné)</v>
      </c>
      <c r="B32" s="68" t="e">
        <f t="shared" ref="B32:G32" si="6">B31*B43</f>
        <v>#DIV/0!</v>
      </c>
      <c r="C32" s="68" t="e">
        <f t="shared" si="6"/>
        <v>#DIV/0!</v>
      </c>
      <c r="D32" s="68" t="e">
        <f t="shared" si="6"/>
        <v>#DIV/0!</v>
      </c>
      <c r="E32" s="68" t="e">
        <f t="shared" si="6"/>
        <v>#DIV/0!</v>
      </c>
      <c r="F32" s="68" t="e">
        <f t="shared" si="6"/>
        <v>#DIV/0!</v>
      </c>
      <c r="G32" s="68" t="e">
        <f t="shared" si="6"/>
        <v>#DIV/0!</v>
      </c>
      <c r="H32" s="79" t="e">
        <f>G32-B32</f>
        <v>#DIV/0!</v>
      </c>
    </row>
    <row r="33" spans="1:8" x14ac:dyDescent="0.25">
      <c r="A33" s="102" t="s">
        <v>173</v>
      </c>
      <c r="B33" s="68" t="e">
        <f t="shared" ref="B33:G33" si="7">B23*B27/100</f>
        <v>#DIV/0!</v>
      </c>
      <c r="C33" s="68" t="e">
        <f t="shared" si="7"/>
        <v>#DIV/0!</v>
      </c>
      <c r="D33" s="68" t="e">
        <f t="shared" si="7"/>
        <v>#DIV/0!</v>
      </c>
      <c r="E33" s="68" t="e">
        <f t="shared" si="7"/>
        <v>#DIV/0!</v>
      </c>
      <c r="F33" s="68" t="e">
        <f t="shared" si="7"/>
        <v>#DIV/0!</v>
      </c>
      <c r="G33" s="68" t="e">
        <f t="shared" si="7"/>
        <v>#DIV/0!</v>
      </c>
      <c r="H33" s="79" t="e">
        <f>G33-B33</f>
        <v>#DIV/0!</v>
      </c>
    </row>
    <row r="34" spans="1:8" x14ac:dyDescent="0.25">
      <c r="A34" s="103" t="s">
        <v>174</v>
      </c>
      <c r="B34" s="77" t="e">
        <f>B31+B32+B33</f>
        <v>#DIV/0!</v>
      </c>
      <c r="C34" s="77" t="e">
        <f t="shared" ref="C34:G34" si="8">C31+C32+C33</f>
        <v>#DIV/0!</v>
      </c>
      <c r="D34" s="77" t="e">
        <f t="shared" si="8"/>
        <v>#DIV/0!</v>
      </c>
      <c r="E34" s="77" t="e">
        <f t="shared" si="8"/>
        <v>#DIV/0!</v>
      </c>
      <c r="F34" s="77" t="e">
        <f t="shared" si="8"/>
        <v>#DIV/0!</v>
      </c>
      <c r="G34" s="77" t="e">
        <f t="shared" si="8"/>
        <v>#DIV/0!</v>
      </c>
      <c r="H34" s="79" t="e">
        <f>G34-B34</f>
        <v>#DIV/0!</v>
      </c>
    </row>
    <row r="35" spans="1:8" x14ac:dyDescent="0.25">
      <c r="A35" s="102" t="s">
        <v>172</v>
      </c>
      <c r="B35" s="88"/>
      <c r="C35" s="68" t="e">
        <f>C34-B34</f>
        <v>#DIV/0!</v>
      </c>
      <c r="D35" s="68" t="e">
        <f t="shared" ref="D35:G35" si="9">D34-C34</f>
        <v>#DIV/0!</v>
      </c>
      <c r="E35" s="68" t="e">
        <f t="shared" si="9"/>
        <v>#DIV/0!</v>
      </c>
      <c r="F35" s="68" t="e">
        <f t="shared" si="9"/>
        <v>#DIV/0!</v>
      </c>
      <c r="G35" s="68" t="e">
        <f t="shared" si="9"/>
        <v>#DIV/0!</v>
      </c>
      <c r="H35" s="89"/>
    </row>
    <row r="37" spans="1:8" hidden="1" x14ac:dyDescent="0.25">
      <c r="A37" s="101" t="s">
        <v>118</v>
      </c>
      <c r="B37" s="63">
        <f>'1_Simulation produit communal'!C64</f>
        <v>0</v>
      </c>
      <c r="C37" s="63">
        <f>'1_Simulation produit communal'!D64</f>
        <v>0</v>
      </c>
      <c r="D37" s="63">
        <f>'1_Simulation produit communal'!E64</f>
        <v>0</v>
      </c>
      <c r="E37" s="63">
        <f>'1_Simulation produit communal'!F64</f>
        <v>0</v>
      </c>
      <c r="F37" s="63">
        <f>'1_Simulation produit communal'!G64</f>
        <v>0</v>
      </c>
      <c r="G37" s="63">
        <f>'1_Simulation produit communal'!H64</f>
        <v>0</v>
      </c>
    </row>
    <row r="38" spans="1:8" hidden="1" x14ac:dyDescent="0.25">
      <c r="A38" s="101" t="s">
        <v>160</v>
      </c>
      <c r="B38" s="63">
        <f>'1_Simulation produit communal'!C68</f>
        <v>0</v>
      </c>
      <c r="C38" s="63">
        <f>'1_Simulation produit communal'!D68</f>
        <v>0</v>
      </c>
      <c r="D38" s="63">
        <f>'1_Simulation produit communal'!E68</f>
        <v>0</v>
      </c>
      <c r="E38" s="63">
        <f>'1_Simulation produit communal'!F68</f>
        <v>0</v>
      </c>
      <c r="F38" s="63">
        <f>'1_Simulation produit communal'!G68</f>
        <v>0</v>
      </c>
      <c r="G38" s="63">
        <f>'1_Simulation produit communal'!H68</f>
        <v>0</v>
      </c>
    </row>
    <row r="39" spans="1:8" ht="28.5" hidden="1" x14ac:dyDescent="0.25">
      <c r="A39" s="101" t="s">
        <v>158</v>
      </c>
      <c r="B39" s="63">
        <f>'1_Simulation produit communal'!C72</f>
        <v>0</v>
      </c>
      <c r="C39" s="63">
        <f>'1_Simulation produit communal'!D72</f>
        <v>0</v>
      </c>
      <c r="D39" s="63">
        <f>'1_Simulation produit communal'!E72</f>
        <v>0</v>
      </c>
      <c r="E39" s="63">
        <f>'1_Simulation produit communal'!F72</f>
        <v>0</v>
      </c>
      <c r="F39" s="63">
        <f>'1_Simulation produit communal'!G72</f>
        <v>0</v>
      </c>
      <c r="G39" s="63">
        <f>'1_Simulation produit communal'!H72</f>
        <v>0</v>
      </c>
    </row>
    <row r="40" spans="1:8" ht="28.5" hidden="1" x14ac:dyDescent="0.25">
      <c r="A40" s="101" t="s">
        <v>161</v>
      </c>
      <c r="B40" s="63">
        <f>'1_Simulation produit communal'!C79</f>
        <v>0</v>
      </c>
      <c r="C40" s="63">
        <f>'1_Simulation produit communal'!D79</f>
        <v>0</v>
      </c>
      <c r="D40" s="63">
        <f>'1_Simulation produit communal'!E79</f>
        <v>0</v>
      </c>
      <c r="E40" s="63">
        <f>'1_Simulation produit communal'!F79</f>
        <v>0</v>
      </c>
      <c r="F40" s="63">
        <f>'1_Simulation produit communal'!G79</f>
        <v>0</v>
      </c>
      <c r="G40" s="63">
        <f>'1_Simulation produit communal'!H79</f>
        <v>0</v>
      </c>
    </row>
    <row r="41" spans="1:8" hidden="1" x14ac:dyDescent="0.25"/>
    <row r="42" spans="1:8" hidden="1" x14ac:dyDescent="0.25">
      <c r="A42" s="105" t="s">
        <v>234</v>
      </c>
      <c r="B42" s="106">
        <f>(E15/(1+(IF(B12="Taxe d'habitation sur les résidences secondaires (THRS)",'1_Simulation produit communal'!C75,IF(B12="Taxe sur la vacance des locaux d'habitation (TVLH)",'1_Simulation produit communal'!C82,0)))))*IF(B12="Taxe d'habitation sur les résidences secondaires (THRS)",'1_Simulation produit communal'!C75,IF(B12="Taxe sur la vacance des locaux d'habitation (TVLH)",'1_Simulation produit communal'!C82,0))</f>
        <v>0</v>
      </c>
      <c r="C42" s="106"/>
      <c r="D42" s="106"/>
      <c r="E42" s="106"/>
      <c r="F42" s="106"/>
      <c r="G42" s="106"/>
    </row>
    <row r="43" spans="1:8" hidden="1" x14ac:dyDescent="0.25">
      <c r="A43" s="107" t="s">
        <v>235</v>
      </c>
      <c r="B43" s="106">
        <f>IF($B$12="Taxe d'habitation sur les résidences secondaires (THRS)",'1_Simulation produit communal'!C75,IF($B$12="Taxe sur la vacance des locaux d'habitation (TVLH)",'1_Simulation produit communal'!C82,0))</f>
        <v>0</v>
      </c>
      <c r="C43" s="106">
        <f>IF($B$12="Taxe d'habitation sur les résidences secondaires (THRS)",'1_Simulation produit communal'!D75,IF($B$12="Taxe sur la vacance des locaux d'habitation (TVLH)",'1_Simulation produit communal'!D82,0))</f>
        <v>0</v>
      </c>
      <c r="D43" s="106">
        <f>IF($B$12="Taxe d'habitation sur les résidences secondaires (THRS)",'1_Simulation produit communal'!E75,IF($B$12="Taxe sur la vacance des locaux d'habitation (TVLH)",'1_Simulation produit communal'!E82,0))</f>
        <v>0</v>
      </c>
      <c r="E43" s="106">
        <f>IF($B$12="Taxe d'habitation sur les résidences secondaires (THRS)",'1_Simulation produit communal'!F75,IF($B$12="Taxe sur la vacance des locaux d'habitation (TVLH)",'1_Simulation produit communal'!F82,0))</f>
        <v>0</v>
      </c>
      <c r="F43" s="106">
        <f>IF($B$12="Taxe d'habitation sur les résidences secondaires (THRS)",'1_Simulation produit communal'!G75,IF($B$12="Taxe sur la vacance des locaux d'habitation (TVLH)",'1_Simulation produit communal'!G82,0))</f>
        <v>0</v>
      </c>
      <c r="G43" s="106">
        <f>IF($B$12="Taxe d'habitation sur les résidences secondaires (THRS)",'1_Simulation produit communal'!H75,IF($B$12="Taxe sur la vacance des locaux d'habitation (TVLH)",'1_Simulation produit communal'!H82,0))</f>
        <v>0</v>
      </c>
    </row>
    <row r="52" spans="6:6" x14ac:dyDescent="0.25">
      <c r="F52" s="5">
        <f>B47+C47+D47+E47</f>
        <v>0</v>
      </c>
    </row>
  </sheetData>
  <sheetProtection sheet="1" objects="1" scenarios="1"/>
  <mergeCells count="7">
    <mergeCell ref="H19:H20"/>
    <mergeCell ref="B12:D12"/>
    <mergeCell ref="A1:H1"/>
    <mergeCell ref="B14:C14"/>
    <mergeCell ref="B15:C15"/>
    <mergeCell ref="A13:F13"/>
    <mergeCell ref="D16:G16"/>
  </mergeCells>
  <dataValidations count="2">
    <dataValidation type="list" allowBlank="1" showInputMessage="1" showErrorMessage="1" sqref="B12" xr:uid="{DE81A582-8812-45A1-A696-32D7F1706BEA}">
      <formula1>$A$7:$A$10</formula1>
    </dataValidation>
    <dataValidation type="list" allowBlank="1" showInputMessage="1" showErrorMessage="1" sqref="B3" xr:uid="{FCAE872B-ED27-4914-8F23-95DF422F45ED}">
      <formula1>$A$4:$B$4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65B7-8920-448F-88FD-01EB3AF40A55}">
  <dimension ref="A1:J103"/>
  <sheetViews>
    <sheetView topLeftCell="A3" workbookViewId="0">
      <selection activeCell="E1" sqref="E1"/>
    </sheetView>
  </sheetViews>
  <sheetFormatPr baseColWidth="10" defaultRowHeight="15" x14ac:dyDescent="0.25"/>
  <sheetData>
    <row r="1" spans="1:10" ht="75" x14ac:dyDescent="0.25">
      <c r="A1" s="1" t="s">
        <v>2</v>
      </c>
      <c r="B1" s="1" t="s">
        <v>3</v>
      </c>
      <c r="C1" s="1" t="s">
        <v>4</v>
      </c>
      <c r="D1" s="1" t="s">
        <v>5</v>
      </c>
      <c r="E1" s="1" t="s">
        <v>6</v>
      </c>
      <c r="F1" s="1" t="s">
        <v>7</v>
      </c>
      <c r="G1" s="1" t="s">
        <v>8</v>
      </c>
      <c r="H1" s="1" t="s">
        <v>9</v>
      </c>
      <c r="I1" s="1" t="s">
        <v>10</v>
      </c>
      <c r="J1" s="1" t="s">
        <v>11</v>
      </c>
    </row>
    <row r="2" spans="1:10" x14ac:dyDescent="0.25">
      <c r="A2" s="2" t="s">
        <v>12</v>
      </c>
      <c r="B2" s="2">
        <v>18.239999999999998</v>
      </c>
      <c r="C2" s="2">
        <v>45.6</v>
      </c>
      <c r="D2" s="2">
        <v>31.76</v>
      </c>
      <c r="E2" s="2">
        <v>79.400000000000006</v>
      </c>
      <c r="F2" s="2">
        <v>50.25</v>
      </c>
      <c r="G2" s="2">
        <v>125.63</v>
      </c>
      <c r="H2" s="2">
        <v>22.83</v>
      </c>
      <c r="I2" s="2">
        <v>13.77</v>
      </c>
      <c r="J2" s="2">
        <v>1.38</v>
      </c>
    </row>
    <row r="3" spans="1:10" x14ac:dyDescent="0.25">
      <c r="A3" s="2" t="s">
        <v>13</v>
      </c>
      <c r="B3" s="2">
        <v>22.28</v>
      </c>
      <c r="C3" s="2">
        <v>55.7</v>
      </c>
      <c r="D3" s="2">
        <v>54.81</v>
      </c>
      <c r="E3" s="2">
        <v>137.03</v>
      </c>
      <c r="F3" s="2">
        <v>33.049999999999997</v>
      </c>
      <c r="G3" s="2">
        <v>82.63</v>
      </c>
      <c r="H3" s="2">
        <v>24.21</v>
      </c>
      <c r="I3" s="2">
        <v>17.559999999999999</v>
      </c>
      <c r="J3" s="2">
        <v>1.76</v>
      </c>
    </row>
    <row r="4" spans="1:10" x14ac:dyDescent="0.25">
      <c r="A4" s="2" t="s">
        <v>14</v>
      </c>
      <c r="B4" s="2">
        <v>23.56</v>
      </c>
      <c r="C4" s="2">
        <v>58.9</v>
      </c>
      <c r="D4" s="2">
        <v>42.88</v>
      </c>
      <c r="E4" s="2">
        <v>107.2</v>
      </c>
      <c r="F4" s="2">
        <v>36.71</v>
      </c>
      <c r="G4" s="2">
        <v>91.78</v>
      </c>
      <c r="H4" s="2">
        <v>29</v>
      </c>
      <c r="I4" s="2">
        <v>16.13</v>
      </c>
      <c r="J4" s="2">
        <v>1.61</v>
      </c>
    </row>
    <row r="5" spans="1:10" ht="45" x14ac:dyDescent="0.25">
      <c r="A5" s="2" t="s">
        <v>15</v>
      </c>
      <c r="B5" s="2">
        <v>18.989999999999998</v>
      </c>
      <c r="C5" s="2">
        <v>47.48</v>
      </c>
      <c r="D5" s="2">
        <v>51.01</v>
      </c>
      <c r="E5" s="2">
        <v>127.53</v>
      </c>
      <c r="F5" s="2">
        <v>67.14</v>
      </c>
      <c r="G5" s="2">
        <v>167.85</v>
      </c>
      <c r="H5" s="2">
        <v>30.64</v>
      </c>
      <c r="I5" s="2">
        <v>10.59</v>
      </c>
      <c r="J5" s="2">
        <v>1.06</v>
      </c>
    </row>
    <row r="6" spans="1:10" ht="30" x14ac:dyDescent="0.25">
      <c r="A6" s="2" t="s">
        <v>16</v>
      </c>
      <c r="B6" s="2">
        <v>21.59</v>
      </c>
      <c r="C6" s="2">
        <v>53.98</v>
      </c>
      <c r="D6" s="2">
        <v>55.52</v>
      </c>
      <c r="E6" s="2">
        <v>138.80000000000001</v>
      </c>
      <c r="F6" s="2">
        <v>112.67</v>
      </c>
      <c r="G6" s="2">
        <v>281.68</v>
      </c>
      <c r="H6" s="2">
        <v>28.02</v>
      </c>
      <c r="I6" s="2">
        <v>14.5</v>
      </c>
      <c r="J6" s="2">
        <v>1.45</v>
      </c>
    </row>
    <row r="7" spans="1:10" ht="30" x14ac:dyDescent="0.25">
      <c r="A7" s="2" t="s">
        <v>17</v>
      </c>
      <c r="B7" s="2">
        <v>26.06</v>
      </c>
      <c r="C7" s="2">
        <v>65.150000000000006</v>
      </c>
      <c r="D7" s="2">
        <v>32.82</v>
      </c>
      <c r="E7" s="2">
        <v>82.05</v>
      </c>
      <c r="F7" s="2">
        <v>30.52</v>
      </c>
      <c r="G7" s="2">
        <v>76.3</v>
      </c>
      <c r="H7" s="2">
        <v>28.22</v>
      </c>
      <c r="I7" s="2">
        <v>20.28</v>
      </c>
      <c r="J7" s="2">
        <v>2.0299999999999998</v>
      </c>
    </row>
    <row r="8" spans="1:10" ht="30" x14ac:dyDescent="0.25">
      <c r="A8" s="2" t="s">
        <v>18</v>
      </c>
      <c r="B8" s="2">
        <v>21.19</v>
      </c>
      <c r="C8" s="2">
        <v>52.98</v>
      </c>
      <c r="D8" s="2">
        <v>39.33</v>
      </c>
      <c r="E8" s="2">
        <v>98.33</v>
      </c>
      <c r="F8" s="2">
        <v>80.23</v>
      </c>
      <c r="G8" s="2">
        <v>200.58</v>
      </c>
      <c r="H8" s="2">
        <v>27.19</v>
      </c>
      <c r="I8" s="2">
        <v>11.32</v>
      </c>
      <c r="J8" s="2">
        <v>1.1299999999999999</v>
      </c>
    </row>
    <row r="9" spans="1:10" ht="30" x14ac:dyDescent="0.25">
      <c r="A9" s="2" t="s">
        <v>19</v>
      </c>
      <c r="B9" s="2">
        <v>23.51</v>
      </c>
      <c r="C9" s="2">
        <v>58.78</v>
      </c>
      <c r="D9" s="2">
        <v>49.4</v>
      </c>
      <c r="E9" s="2">
        <v>123.5</v>
      </c>
      <c r="F9" s="2">
        <v>32.96</v>
      </c>
      <c r="G9" s="2">
        <v>82.4</v>
      </c>
      <c r="H9" s="2">
        <v>23.42</v>
      </c>
      <c r="I9" s="2">
        <v>14.63</v>
      </c>
      <c r="J9" s="2">
        <v>1.46</v>
      </c>
    </row>
    <row r="10" spans="1:10" x14ac:dyDescent="0.25">
      <c r="A10" s="2" t="s">
        <v>20</v>
      </c>
      <c r="B10" s="2">
        <v>22.18</v>
      </c>
      <c r="C10" s="2">
        <v>55.45</v>
      </c>
      <c r="D10" s="2">
        <v>46.63</v>
      </c>
      <c r="E10" s="2">
        <v>116.58</v>
      </c>
      <c r="F10" s="2">
        <v>123.24</v>
      </c>
      <c r="G10" s="2">
        <v>308.10000000000002</v>
      </c>
      <c r="H10" s="2">
        <v>41.56</v>
      </c>
      <c r="I10" s="2">
        <v>11.61</v>
      </c>
      <c r="J10" s="2">
        <v>1.1599999999999999</v>
      </c>
    </row>
    <row r="11" spans="1:10" x14ac:dyDescent="0.25">
      <c r="A11" s="2" t="s">
        <v>21</v>
      </c>
      <c r="B11" s="2">
        <v>24.38</v>
      </c>
      <c r="C11" s="2">
        <v>60.95</v>
      </c>
      <c r="D11" s="2">
        <v>44.7</v>
      </c>
      <c r="E11" s="2">
        <v>111.75</v>
      </c>
      <c r="F11" s="2">
        <v>22.34</v>
      </c>
      <c r="G11" s="2">
        <v>55.85</v>
      </c>
      <c r="H11" s="2">
        <v>22.13</v>
      </c>
      <c r="I11" s="2">
        <v>18.420000000000002</v>
      </c>
      <c r="J11" s="2">
        <v>1.84</v>
      </c>
    </row>
    <row r="12" spans="1:10" x14ac:dyDescent="0.25">
      <c r="A12" s="2" t="s">
        <v>22</v>
      </c>
      <c r="B12" s="2">
        <v>27.93</v>
      </c>
      <c r="C12" s="2">
        <v>69.83</v>
      </c>
      <c r="D12" s="2">
        <v>65.19</v>
      </c>
      <c r="E12" s="2">
        <v>162.97999999999999</v>
      </c>
      <c r="F12" s="2">
        <v>109.74</v>
      </c>
      <c r="G12" s="2">
        <v>274.35000000000002</v>
      </c>
      <c r="H12" s="2">
        <v>34.549999999999997</v>
      </c>
      <c r="I12" s="2">
        <v>17.36</v>
      </c>
      <c r="J12" s="2">
        <v>1.74</v>
      </c>
    </row>
    <row r="13" spans="1:10" ht="30" x14ac:dyDescent="0.25">
      <c r="A13" s="2" t="s">
        <v>23</v>
      </c>
      <c r="B13" s="2">
        <v>18.46</v>
      </c>
      <c r="C13" s="2">
        <v>46.15</v>
      </c>
      <c r="D13" s="2">
        <v>42.46</v>
      </c>
      <c r="E13" s="2">
        <v>106.15</v>
      </c>
      <c r="F13" s="2">
        <v>87.45</v>
      </c>
      <c r="G13" s="2">
        <v>218.63</v>
      </c>
      <c r="H13" s="2">
        <v>30.91</v>
      </c>
      <c r="I13" s="2">
        <v>10</v>
      </c>
      <c r="J13" s="2">
        <v>1</v>
      </c>
    </row>
    <row r="14" spans="1:10" ht="45" x14ac:dyDescent="0.25">
      <c r="A14" s="2" t="s">
        <v>24</v>
      </c>
      <c r="B14" s="2">
        <v>30.78</v>
      </c>
      <c r="C14" s="2">
        <v>76.95</v>
      </c>
      <c r="D14" s="2">
        <v>44.21</v>
      </c>
      <c r="E14" s="2">
        <v>110.53</v>
      </c>
      <c r="F14" s="2">
        <v>42.87</v>
      </c>
      <c r="G14" s="2">
        <v>107.18</v>
      </c>
      <c r="H14" s="2">
        <v>32.450000000000003</v>
      </c>
      <c r="I14" s="2">
        <v>19.22</v>
      </c>
      <c r="J14" s="2">
        <v>1.92</v>
      </c>
    </row>
    <row r="15" spans="1:10" ht="30" x14ac:dyDescent="0.25">
      <c r="A15" s="2" t="s">
        <v>25</v>
      </c>
      <c r="B15" s="2">
        <v>17.95</v>
      </c>
      <c r="C15" s="2">
        <v>44.88</v>
      </c>
      <c r="D15" s="2">
        <v>49.56</v>
      </c>
      <c r="E15" s="2">
        <v>123.9</v>
      </c>
      <c r="F15" s="2">
        <v>35.44</v>
      </c>
      <c r="G15" s="2">
        <v>88.6</v>
      </c>
      <c r="H15" s="2">
        <v>24.15</v>
      </c>
      <c r="I15" s="2">
        <v>11.53</v>
      </c>
      <c r="J15" s="2">
        <v>1.1499999999999999</v>
      </c>
    </row>
    <row r="16" spans="1:10" x14ac:dyDescent="0.25">
      <c r="A16" s="2" t="s">
        <v>26</v>
      </c>
      <c r="B16" s="2">
        <v>23.45</v>
      </c>
      <c r="C16" s="2">
        <v>58.63</v>
      </c>
      <c r="D16" s="2">
        <v>48.21</v>
      </c>
      <c r="E16" s="2">
        <v>120.53</v>
      </c>
      <c r="F16" s="2">
        <v>93.01</v>
      </c>
      <c r="G16" s="2">
        <v>232.53</v>
      </c>
      <c r="H16" s="2">
        <v>31.77</v>
      </c>
      <c r="I16" s="2">
        <v>13.06</v>
      </c>
      <c r="J16" s="2">
        <v>1.31</v>
      </c>
    </row>
    <row r="17" spans="1:10" ht="30" x14ac:dyDescent="0.25">
      <c r="A17" s="2" t="s">
        <v>27</v>
      </c>
      <c r="B17" s="2">
        <v>20.3</v>
      </c>
      <c r="C17" s="2">
        <v>50.75</v>
      </c>
      <c r="D17" s="2">
        <v>49.87</v>
      </c>
      <c r="E17" s="2">
        <v>124.68</v>
      </c>
      <c r="F17" s="2">
        <v>55.76</v>
      </c>
      <c r="G17" s="2">
        <v>139.4</v>
      </c>
      <c r="H17" s="2">
        <v>24.88</v>
      </c>
      <c r="I17" s="2">
        <v>11.99</v>
      </c>
      <c r="J17" s="2">
        <v>1.2</v>
      </c>
    </row>
    <row r="18" spans="1:10" ht="45" x14ac:dyDescent="0.25">
      <c r="A18" s="2" t="s">
        <v>28</v>
      </c>
      <c r="B18" s="2">
        <v>21.98</v>
      </c>
      <c r="C18" s="2">
        <v>54.95</v>
      </c>
      <c r="D18" s="2">
        <v>48.28</v>
      </c>
      <c r="E18" s="2">
        <v>120.7</v>
      </c>
      <c r="F18" s="2">
        <v>56.26</v>
      </c>
      <c r="G18" s="2">
        <v>140.65</v>
      </c>
      <c r="H18" s="2">
        <v>25.6</v>
      </c>
      <c r="I18" s="2">
        <v>11.23</v>
      </c>
      <c r="J18" s="2">
        <v>1.1200000000000001</v>
      </c>
    </row>
    <row r="19" spans="1:10" x14ac:dyDescent="0.25">
      <c r="A19" s="2" t="s">
        <v>29</v>
      </c>
      <c r="B19" s="2">
        <v>24.99</v>
      </c>
      <c r="C19" s="2">
        <v>62.48</v>
      </c>
      <c r="D19" s="2">
        <v>42.36</v>
      </c>
      <c r="E19" s="2">
        <v>105.9</v>
      </c>
      <c r="F19" s="2">
        <v>40.57</v>
      </c>
      <c r="G19" s="2">
        <v>101.43</v>
      </c>
      <c r="H19" s="2">
        <v>26.32</v>
      </c>
      <c r="I19" s="2">
        <v>18.32</v>
      </c>
      <c r="J19" s="2">
        <v>1.83</v>
      </c>
    </row>
    <row r="20" spans="1:10" ht="30" x14ac:dyDescent="0.25">
      <c r="A20" s="2" t="s">
        <v>30</v>
      </c>
      <c r="B20" s="2">
        <v>17.2</v>
      </c>
      <c r="C20" s="2">
        <v>43</v>
      </c>
      <c r="D20" s="2">
        <v>44.85</v>
      </c>
      <c r="E20" s="2">
        <v>112.13</v>
      </c>
      <c r="F20" s="2">
        <v>91.96</v>
      </c>
      <c r="G20" s="2">
        <v>229.9</v>
      </c>
      <c r="H20" s="2">
        <v>31.21</v>
      </c>
      <c r="I20" s="2">
        <v>10.31</v>
      </c>
      <c r="J20" s="2">
        <v>1.03</v>
      </c>
    </row>
    <row r="21" spans="1:10" ht="30" x14ac:dyDescent="0.25">
      <c r="A21" s="2" t="s">
        <v>31</v>
      </c>
      <c r="B21" s="2">
        <v>27.36</v>
      </c>
      <c r="C21" s="2">
        <v>68.400000000000006</v>
      </c>
      <c r="D21" s="2">
        <v>31.17</v>
      </c>
      <c r="E21" s="2">
        <v>77.930000000000007</v>
      </c>
      <c r="F21" s="2">
        <v>78.209999999999994</v>
      </c>
      <c r="G21" s="2">
        <v>195.53</v>
      </c>
      <c r="H21" s="2">
        <v>20.02</v>
      </c>
      <c r="I21" s="2">
        <v>21.63</v>
      </c>
      <c r="J21" s="2">
        <v>2.16</v>
      </c>
    </row>
    <row r="22" spans="1:10" ht="30" x14ac:dyDescent="0.25">
      <c r="A22" s="2" t="s">
        <v>32</v>
      </c>
      <c r="B22" s="2">
        <v>27.5</v>
      </c>
      <c r="C22" s="2">
        <v>68.75</v>
      </c>
      <c r="D22" s="2">
        <v>30.22</v>
      </c>
      <c r="E22" s="2">
        <v>75.55</v>
      </c>
      <c r="F22" s="2">
        <v>68.569999999999993</v>
      </c>
      <c r="G22" s="2">
        <v>171.43</v>
      </c>
      <c r="H22" s="2">
        <v>20.99</v>
      </c>
      <c r="I22" s="2">
        <v>18.41</v>
      </c>
      <c r="J22" s="2">
        <v>1.84</v>
      </c>
    </row>
    <row r="23" spans="1:10" ht="30" x14ac:dyDescent="0.25">
      <c r="A23" s="2" t="s">
        <v>33</v>
      </c>
      <c r="B23" s="2">
        <v>20.56</v>
      </c>
      <c r="C23" s="2">
        <v>51.4</v>
      </c>
      <c r="D23" s="2">
        <v>45.03</v>
      </c>
      <c r="E23" s="2">
        <v>112.58</v>
      </c>
      <c r="F23" s="2">
        <v>37.36</v>
      </c>
      <c r="G23" s="2">
        <v>93.4</v>
      </c>
      <c r="H23" s="2">
        <v>24.66</v>
      </c>
      <c r="I23" s="2">
        <v>14.82</v>
      </c>
      <c r="J23" s="2">
        <v>1.48</v>
      </c>
    </row>
    <row r="24" spans="1:10" ht="30" x14ac:dyDescent="0.25">
      <c r="A24" s="2" t="s">
        <v>34</v>
      </c>
      <c r="B24" s="2">
        <v>30.36</v>
      </c>
      <c r="C24" s="2">
        <v>75.900000000000006</v>
      </c>
      <c r="D24" s="2">
        <v>43.65</v>
      </c>
      <c r="E24" s="2">
        <v>109.13</v>
      </c>
      <c r="F24" s="2">
        <v>76.849999999999994</v>
      </c>
      <c r="G24" s="2">
        <v>192.13</v>
      </c>
      <c r="H24" s="2">
        <v>26.93</v>
      </c>
      <c r="I24" s="2">
        <v>16.420000000000002</v>
      </c>
      <c r="J24" s="2">
        <v>1.64</v>
      </c>
    </row>
    <row r="25" spans="1:10" x14ac:dyDescent="0.25">
      <c r="A25" s="2" t="s">
        <v>35</v>
      </c>
      <c r="B25" s="2">
        <v>22.12</v>
      </c>
      <c r="C25" s="2">
        <v>55.3</v>
      </c>
      <c r="D25" s="2">
        <v>42.88</v>
      </c>
      <c r="E25" s="2">
        <v>107.2</v>
      </c>
      <c r="F25" s="2">
        <v>59.68</v>
      </c>
      <c r="G25" s="2">
        <v>149.19999999999999</v>
      </c>
      <c r="H25" s="2">
        <v>30.69</v>
      </c>
      <c r="I25" s="2">
        <v>10.95</v>
      </c>
      <c r="J25" s="2">
        <v>1.1000000000000001</v>
      </c>
    </row>
    <row r="26" spans="1:10" ht="30" x14ac:dyDescent="0.25">
      <c r="A26" s="2" t="s">
        <v>36</v>
      </c>
      <c r="B26" s="2">
        <v>19.27</v>
      </c>
      <c r="C26" s="2">
        <v>48.18</v>
      </c>
      <c r="D26" s="2">
        <v>55.79</v>
      </c>
      <c r="E26" s="2">
        <v>139.47999999999999</v>
      </c>
      <c r="F26" s="2">
        <v>90.52</v>
      </c>
      <c r="G26" s="2">
        <v>226.3</v>
      </c>
      <c r="H26" s="2">
        <v>27.12</v>
      </c>
      <c r="I26" s="2">
        <v>11.97</v>
      </c>
      <c r="J26" s="2">
        <v>1.2</v>
      </c>
    </row>
    <row r="27" spans="1:10" x14ac:dyDescent="0.25">
      <c r="A27" s="2" t="s">
        <v>37</v>
      </c>
      <c r="B27" s="2">
        <v>22.64</v>
      </c>
      <c r="C27" s="2">
        <v>56.6</v>
      </c>
      <c r="D27" s="2">
        <v>39.79</v>
      </c>
      <c r="E27" s="2">
        <v>99.48</v>
      </c>
      <c r="F27" s="2">
        <v>25.18</v>
      </c>
      <c r="G27" s="2">
        <v>62.95</v>
      </c>
      <c r="H27" s="2">
        <v>26.16</v>
      </c>
      <c r="I27" s="2">
        <v>16.27</v>
      </c>
      <c r="J27" s="2">
        <v>1.63</v>
      </c>
    </row>
    <row r="28" spans="1:10" x14ac:dyDescent="0.25">
      <c r="A28" s="2" t="s">
        <v>38</v>
      </c>
      <c r="B28" s="2">
        <v>20.14</v>
      </c>
      <c r="C28" s="2">
        <v>50.35</v>
      </c>
      <c r="D28" s="2">
        <v>37.21</v>
      </c>
      <c r="E28" s="2">
        <v>93.03</v>
      </c>
      <c r="F28" s="2">
        <v>60.09</v>
      </c>
      <c r="G28" s="2">
        <v>150.22999999999999</v>
      </c>
      <c r="H28" s="2">
        <v>25.86</v>
      </c>
      <c r="I28" s="2">
        <v>13.46</v>
      </c>
      <c r="J28" s="2">
        <v>1.35</v>
      </c>
    </row>
    <row r="29" spans="1:10" x14ac:dyDescent="0.25">
      <c r="A29" s="2" t="s">
        <v>39</v>
      </c>
      <c r="B29" s="2">
        <v>19.45</v>
      </c>
      <c r="C29" s="2">
        <v>48.63</v>
      </c>
      <c r="D29" s="2">
        <v>49.02</v>
      </c>
      <c r="E29" s="2">
        <v>122.55</v>
      </c>
      <c r="F29" s="2">
        <v>52.78</v>
      </c>
      <c r="G29" s="2">
        <v>131.94999999999999</v>
      </c>
      <c r="H29" s="2">
        <v>23.96</v>
      </c>
      <c r="I29" s="2">
        <v>11.32</v>
      </c>
      <c r="J29" s="2">
        <v>1.1299999999999999</v>
      </c>
    </row>
    <row r="30" spans="1:10" ht="30" x14ac:dyDescent="0.25">
      <c r="A30" s="2" t="s">
        <v>40</v>
      </c>
      <c r="B30" s="2">
        <v>22.34</v>
      </c>
      <c r="C30" s="2">
        <v>55.85</v>
      </c>
      <c r="D30" s="2">
        <v>49.04</v>
      </c>
      <c r="E30" s="2">
        <v>122.6</v>
      </c>
      <c r="F30" s="2">
        <v>33.979999999999997</v>
      </c>
      <c r="G30" s="2">
        <v>84.95</v>
      </c>
      <c r="H30" s="2">
        <v>24.29</v>
      </c>
      <c r="I30" s="2">
        <v>13.16</v>
      </c>
      <c r="J30" s="2">
        <v>1.32</v>
      </c>
    </row>
    <row r="31" spans="1:10" ht="30" x14ac:dyDescent="0.25">
      <c r="A31" s="2" t="s">
        <v>41</v>
      </c>
      <c r="B31" s="2">
        <v>27.12</v>
      </c>
      <c r="C31" s="2">
        <v>67.8</v>
      </c>
      <c r="D31" s="2">
        <v>39.68</v>
      </c>
      <c r="E31" s="2">
        <v>99.2</v>
      </c>
      <c r="F31" s="2">
        <v>47.33</v>
      </c>
      <c r="G31" s="2">
        <v>118.33</v>
      </c>
      <c r="H31" s="2">
        <v>26.19</v>
      </c>
      <c r="I31" s="2">
        <v>15.74</v>
      </c>
      <c r="J31" s="2">
        <v>1.57</v>
      </c>
    </row>
    <row r="32" spans="1:10" x14ac:dyDescent="0.25">
      <c r="A32" s="2" t="s">
        <v>42</v>
      </c>
      <c r="B32" s="2">
        <v>23.32</v>
      </c>
      <c r="C32" s="2">
        <v>58.3</v>
      </c>
      <c r="D32" s="2">
        <v>49.89</v>
      </c>
      <c r="E32" s="2">
        <v>124.73</v>
      </c>
      <c r="F32" s="2">
        <v>70.989999999999995</v>
      </c>
      <c r="G32" s="2">
        <v>177.48</v>
      </c>
      <c r="H32" s="2">
        <v>31.73</v>
      </c>
      <c r="I32" s="2">
        <v>13.48</v>
      </c>
      <c r="J32" s="2">
        <v>1.35</v>
      </c>
    </row>
    <row r="33" spans="1:10" ht="45" x14ac:dyDescent="0.25">
      <c r="A33" s="2" t="s">
        <v>43</v>
      </c>
      <c r="B33" s="2">
        <v>27.45</v>
      </c>
      <c r="C33" s="2">
        <v>68.63</v>
      </c>
      <c r="D33" s="2">
        <v>50.39</v>
      </c>
      <c r="E33" s="2">
        <v>125.98</v>
      </c>
      <c r="F33" s="2">
        <v>97.23</v>
      </c>
      <c r="G33" s="2">
        <v>243.08</v>
      </c>
      <c r="H33" s="2">
        <v>36.35</v>
      </c>
      <c r="I33" s="2">
        <v>14</v>
      </c>
      <c r="J33" s="2">
        <v>1.4</v>
      </c>
    </row>
    <row r="34" spans="1:10" x14ac:dyDescent="0.25">
      <c r="A34" s="2" t="s">
        <v>44</v>
      </c>
      <c r="B34" s="2">
        <v>30.17</v>
      </c>
      <c r="C34" s="2">
        <v>75.430000000000007</v>
      </c>
      <c r="D34" s="2">
        <v>67.61</v>
      </c>
      <c r="E34" s="2">
        <v>169.03</v>
      </c>
      <c r="F34" s="2">
        <v>98.94</v>
      </c>
      <c r="G34" s="2">
        <v>247.35</v>
      </c>
      <c r="H34" s="2">
        <v>33.56</v>
      </c>
      <c r="I34" s="2">
        <v>14.66</v>
      </c>
      <c r="J34" s="2">
        <v>1.47</v>
      </c>
    </row>
    <row r="35" spans="1:10" ht="30" x14ac:dyDescent="0.25">
      <c r="A35" s="2" t="s">
        <v>45</v>
      </c>
      <c r="B35" s="2">
        <v>24.5</v>
      </c>
      <c r="C35" s="2">
        <v>61.25</v>
      </c>
      <c r="D35" s="2">
        <v>45.44</v>
      </c>
      <c r="E35" s="2">
        <v>113.6</v>
      </c>
      <c r="F35" s="2">
        <v>57.61</v>
      </c>
      <c r="G35" s="2">
        <v>144.03</v>
      </c>
      <c r="H35" s="2">
        <v>31.85</v>
      </c>
      <c r="I35" s="2">
        <v>17.48</v>
      </c>
      <c r="J35" s="2">
        <v>1.75</v>
      </c>
    </row>
    <row r="36" spans="1:10" x14ac:dyDescent="0.25">
      <c r="A36" s="2" t="s">
        <v>46</v>
      </c>
      <c r="B36" s="2">
        <v>30.03</v>
      </c>
      <c r="C36" s="2">
        <v>75.08</v>
      </c>
      <c r="D36" s="2">
        <v>50.29</v>
      </c>
      <c r="E36" s="2">
        <v>125.73</v>
      </c>
      <c r="F36" s="2">
        <v>84.71</v>
      </c>
      <c r="G36" s="2">
        <v>211.78</v>
      </c>
      <c r="H36" s="2">
        <v>35.729999999999997</v>
      </c>
      <c r="I36" s="2">
        <v>17.36</v>
      </c>
      <c r="J36" s="2">
        <v>1.74</v>
      </c>
    </row>
    <row r="37" spans="1:10" ht="30" x14ac:dyDescent="0.25">
      <c r="A37" s="2" t="s">
        <v>47</v>
      </c>
      <c r="B37" s="2">
        <v>27.92</v>
      </c>
      <c r="C37" s="2">
        <v>69.8</v>
      </c>
      <c r="D37" s="2">
        <v>43.88</v>
      </c>
      <c r="E37" s="2">
        <v>109.7</v>
      </c>
      <c r="F37" s="2">
        <v>48.6</v>
      </c>
      <c r="G37" s="2">
        <v>121.5</v>
      </c>
      <c r="H37" s="2">
        <v>27.17</v>
      </c>
      <c r="I37" s="2">
        <v>16.93</v>
      </c>
      <c r="J37" s="2">
        <v>1.69</v>
      </c>
    </row>
    <row r="38" spans="1:10" x14ac:dyDescent="0.25">
      <c r="A38" s="2" t="s">
        <v>48</v>
      </c>
      <c r="B38" s="2">
        <v>21.22</v>
      </c>
      <c r="C38" s="2">
        <v>53.05</v>
      </c>
      <c r="D38" s="2">
        <v>39.270000000000003</v>
      </c>
      <c r="E38" s="2">
        <v>98.18</v>
      </c>
      <c r="F38" s="2">
        <v>42.24</v>
      </c>
      <c r="G38" s="2">
        <v>105.6</v>
      </c>
      <c r="H38" s="2">
        <v>24.76</v>
      </c>
      <c r="I38" s="2">
        <v>14.72</v>
      </c>
      <c r="J38" s="2">
        <v>1.47</v>
      </c>
    </row>
    <row r="39" spans="1:10" ht="30" x14ac:dyDescent="0.25">
      <c r="A39" s="2" t="s">
        <v>49</v>
      </c>
      <c r="B39" s="2">
        <v>22.9</v>
      </c>
      <c r="C39" s="2">
        <v>57.25</v>
      </c>
      <c r="D39" s="2">
        <v>40.29</v>
      </c>
      <c r="E39" s="2">
        <v>100.73</v>
      </c>
      <c r="F39" s="2">
        <v>47.18</v>
      </c>
      <c r="G39" s="2">
        <v>117.95</v>
      </c>
      <c r="H39" s="2">
        <v>23.46</v>
      </c>
      <c r="I39" s="2">
        <v>16.09</v>
      </c>
      <c r="J39" s="2">
        <v>1.61</v>
      </c>
    </row>
    <row r="40" spans="1:10" x14ac:dyDescent="0.25">
      <c r="A40" s="2" t="s">
        <v>50</v>
      </c>
      <c r="B40" s="2">
        <v>22.8</v>
      </c>
      <c r="C40" s="2">
        <v>57</v>
      </c>
      <c r="D40" s="2">
        <v>47.83</v>
      </c>
      <c r="E40" s="2">
        <v>119.58</v>
      </c>
      <c r="F40" s="2">
        <v>62.91</v>
      </c>
      <c r="G40" s="2">
        <v>157.28</v>
      </c>
      <c r="H40" s="2">
        <v>30.01</v>
      </c>
      <c r="I40" s="2">
        <v>17.27</v>
      </c>
      <c r="J40" s="2">
        <v>1.73</v>
      </c>
    </row>
    <row r="41" spans="1:10" x14ac:dyDescent="0.25">
      <c r="A41" s="2" t="s">
        <v>51</v>
      </c>
      <c r="B41" s="2">
        <v>22.39</v>
      </c>
      <c r="C41" s="2">
        <v>55.98</v>
      </c>
      <c r="D41" s="2">
        <v>47.38</v>
      </c>
      <c r="E41" s="2">
        <v>118.45</v>
      </c>
      <c r="F41" s="2">
        <v>33.67</v>
      </c>
      <c r="G41" s="2">
        <v>84.18</v>
      </c>
      <c r="H41" s="2">
        <v>22.18</v>
      </c>
      <c r="I41" s="2">
        <v>10.95</v>
      </c>
      <c r="J41" s="2">
        <v>1.1000000000000001</v>
      </c>
    </row>
    <row r="42" spans="1:10" x14ac:dyDescent="0.25">
      <c r="A42" s="2" t="s">
        <v>52</v>
      </c>
      <c r="B42" s="2">
        <v>24.18</v>
      </c>
      <c r="C42" s="2">
        <v>60.45</v>
      </c>
      <c r="D42" s="2">
        <v>38.89</v>
      </c>
      <c r="E42" s="2">
        <v>97.23</v>
      </c>
      <c r="F42" s="2">
        <v>55.69</v>
      </c>
      <c r="G42" s="2">
        <v>139.22999999999999</v>
      </c>
      <c r="H42" s="2">
        <v>28.03</v>
      </c>
      <c r="I42" s="2">
        <v>14.46</v>
      </c>
      <c r="J42" s="2">
        <v>1.45</v>
      </c>
    </row>
    <row r="43" spans="1:10" ht="30" x14ac:dyDescent="0.25">
      <c r="A43" s="2" t="s">
        <v>53</v>
      </c>
      <c r="B43" s="2">
        <v>24.05</v>
      </c>
      <c r="C43" s="2">
        <v>60.13</v>
      </c>
      <c r="D43" s="2">
        <v>51.74</v>
      </c>
      <c r="E43" s="2">
        <v>129.35</v>
      </c>
      <c r="F43" s="2">
        <v>51.66</v>
      </c>
      <c r="G43" s="2">
        <v>129.15</v>
      </c>
      <c r="H43" s="2">
        <v>24.17</v>
      </c>
      <c r="I43" s="2">
        <v>15.48</v>
      </c>
      <c r="J43" s="2">
        <v>1.55</v>
      </c>
    </row>
    <row r="44" spans="1:10" x14ac:dyDescent="0.25">
      <c r="A44" s="2" t="s">
        <v>54</v>
      </c>
      <c r="B44" s="2">
        <v>20.23</v>
      </c>
      <c r="C44" s="2">
        <v>50.58</v>
      </c>
      <c r="D44" s="2">
        <v>40.18</v>
      </c>
      <c r="E44" s="2">
        <v>100.45</v>
      </c>
      <c r="F44" s="2">
        <v>44.63</v>
      </c>
      <c r="G44" s="2">
        <v>111.58</v>
      </c>
      <c r="H44" s="2">
        <v>28.21</v>
      </c>
      <c r="I44" s="2">
        <v>13.73</v>
      </c>
      <c r="J44" s="2">
        <v>1.37</v>
      </c>
    </row>
    <row r="45" spans="1:10" ht="30" x14ac:dyDescent="0.25">
      <c r="A45" s="2" t="s">
        <v>55</v>
      </c>
      <c r="B45" s="2">
        <v>20.47</v>
      </c>
      <c r="C45" s="2">
        <v>51.18</v>
      </c>
      <c r="D45" s="2">
        <v>42.65</v>
      </c>
      <c r="E45" s="2">
        <v>106.63</v>
      </c>
      <c r="F45" s="2">
        <v>75.06</v>
      </c>
      <c r="G45" s="2">
        <v>187.65</v>
      </c>
      <c r="H45" s="2">
        <v>26.89</v>
      </c>
      <c r="I45" s="2">
        <v>11.18</v>
      </c>
      <c r="J45" s="2">
        <v>1.1200000000000001</v>
      </c>
    </row>
    <row r="46" spans="1:10" ht="45" x14ac:dyDescent="0.25">
      <c r="A46" s="2" t="s">
        <v>56</v>
      </c>
      <c r="B46" s="2">
        <v>25.46</v>
      </c>
      <c r="C46" s="2">
        <v>63.65</v>
      </c>
      <c r="D46" s="2">
        <v>43.74</v>
      </c>
      <c r="E46" s="2">
        <v>109.35</v>
      </c>
      <c r="F46" s="2">
        <v>57.98</v>
      </c>
      <c r="G46" s="2">
        <v>144.94999999999999</v>
      </c>
      <c r="H46" s="2">
        <v>28.83</v>
      </c>
      <c r="I46" s="2">
        <v>16.21</v>
      </c>
      <c r="J46" s="2">
        <v>1.62</v>
      </c>
    </row>
    <row r="47" spans="1:10" x14ac:dyDescent="0.25">
      <c r="A47" s="2" t="s">
        <v>57</v>
      </c>
      <c r="B47" s="2">
        <v>21.13</v>
      </c>
      <c r="C47" s="2">
        <v>52.83</v>
      </c>
      <c r="D47" s="2">
        <v>48.15</v>
      </c>
      <c r="E47" s="2">
        <v>120.38</v>
      </c>
      <c r="F47" s="2">
        <v>47.34</v>
      </c>
      <c r="G47" s="2">
        <v>118.35</v>
      </c>
      <c r="H47" s="2">
        <v>22.79</v>
      </c>
      <c r="I47" s="2">
        <v>14.92</v>
      </c>
      <c r="J47" s="2">
        <v>1.49</v>
      </c>
    </row>
    <row r="48" spans="1:10" x14ac:dyDescent="0.25">
      <c r="A48" s="2" t="s">
        <v>58</v>
      </c>
      <c r="B48" s="2">
        <v>18.989999999999998</v>
      </c>
      <c r="C48" s="2">
        <v>47.48</v>
      </c>
      <c r="D48" s="2">
        <v>47.87</v>
      </c>
      <c r="E48" s="2">
        <v>119.68</v>
      </c>
      <c r="F48" s="2">
        <v>157.16</v>
      </c>
      <c r="G48" s="2">
        <v>392.9</v>
      </c>
      <c r="H48" s="2">
        <v>31.45</v>
      </c>
      <c r="I48" s="2">
        <v>9.99</v>
      </c>
      <c r="J48" s="2">
        <v>0.999</v>
      </c>
    </row>
    <row r="49" spans="1:10" ht="30" x14ac:dyDescent="0.25">
      <c r="A49" s="2" t="s">
        <v>59</v>
      </c>
      <c r="B49" s="2">
        <v>20.87</v>
      </c>
      <c r="C49" s="2">
        <v>52.18</v>
      </c>
      <c r="D49" s="2">
        <v>54.02</v>
      </c>
      <c r="E49" s="2">
        <v>135.05000000000001</v>
      </c>
      <c r="F49" s="2">
        <v>85.73</v>
      </c>
      <c r="G49" s="2">
        <v>214.33</v>
      </c>
      <c r="H49" s="2">
        <v>28.87</v>
      </c>
      <c r="I49" s="2">
        <v>13.33</v>
      </c>
      <c r="J49" s="2">
        <v>1.33</v>
      </c>
    </row>
    <row r="50" spans="1:10" x14ac:dyDescent="0.25">
      <c r="A50" s="2" t="s">
        <v>60</v>
      </c>
      <c r="B50" s="2">
        <v>15.13</v>
      </c>
      <c r="C50" s="2">
        <v>37.83</v>
      </c>
      <c r="D50" s="2">
        <v>46.02</v>
      </c>
      <c r="E50" s="2">
        <v>115.05</v>
      </c>
      <c r="F50" s="2">
        <v>199.87</v>
      </c>
      <c r="G50" s="2">
        <v>499.68</v>
      </c>
      <c r="H50" s="2">
        <v>27.22</v>
      </c>
      <c r="I50" s="2">
        <v>10.210000000000001</v>
      </c>
      <c r="J50" s="2">
        <v>1.02</v>
      </c>
    </row>
    <row r="51" spans="1:10" ht="30" x14ac:dyDescent="0.25">
      <c r="A51" s="2" t="s">
        <v>61</v>
      </c>
      <c r="B51" s="2">
        <v>22.43</v>
      </c>
      <c r="C51" s="2">
        <v>56.08</v>
      </c>
      <c r="D51" s="2">
        <v>50.04</v>
      </c>
      <c r="E51" s="2">
        <v>125.1</v>
      </c>
      <c r="F51" s="2">
        <v>44.44</v>
      </c>
      <c r="G51" s="2">
        <v>111.1</v>
      </c>
      <c r="H51" s="2">
        <v>23.83</v>
      </c>
      <c r="I51" s="2">
        <v>16.09</v>
      </c>
      <c r="J51" s="2">
        <v>1.61</v>
      </c>
    </row>
    <row r="52" spans="1:10" x14ac:dyDescent="0.25">
      <c r="A52" s="2" t="s">
        <v>62</v>
      </c>
      <c r="B52" s="2">
        <v>23.91</v>
      </c>
      <c r="C52" s="2">
        <v>59.78</v>
      </c>
      <c r="D52" s="2">
        <v>46.16</v>
      </c>
      <c r="E52" s="2">
        <v>115.4</v>
      </c>
      <c r="F52" s="2">
        <v>42.4</v>
      </c>
      <c r="G52" s="2">
        <v>106</v>
      </c>
      <c r="H52" s="2">
        <v>25.28</v>
      </c>
      <c r="I52" s="2">
        <v>11.92</v>
      </c>
      <c r="J52" s="2">
        <v>1.19</v>
      </c>
    </row>
    <row r="53" spans="1:10" x14ac:dyDescent="0.25">
      <c r="A53" s="2" t="s">
        <v>63</v>
      </c>
      <c r="B53" s="2">
        <v>25</v>
      </c>
      <c r="C53" s="2">
        <v>62.5</v>
      </c>
      <c r="D53" s="2">
        <v>42.13</v>
      </c>
      <c r="E53" s="2">
        <v>105.33</v>
      </c>
      <c r="F53" s="2">
        <v>25.5</v>
      </c>
      <c r="G53" s="2">
        <v>63.75</v>
      </c>
      <c r="H53" s="2">
        <v>22.85</v>
      </c>
      <c r="I53" s="2">
        <v>17.989999999999998</v>
      </c>
      <c r="J53" s="2">
        <v>1.8</v>
      </c>
    </row>
    <row r="54" spans="1:10" ht="30" x14ac:dyDescent="0.25">
      <c r="A54" s="2" t="s">
        <v>64</v>
      </c>
      <c r="B54" s="2">
        <v>21.06</v>
      </c>
      <c r="C54" s="2">
        <v>52.65</v>
      </c>
      <c r="D54" s="2">
        <v>50.66</v>
      </c>
      <c r="E54" s="2">
        <v>126.65</v>
      </c>
      <c r="F54" s="2">
        <v>28.83</v>
      </c>
      <c r="G54" s="2">
        <v>72.08</v>
      </c>
      <c r="H54" s="2">
        <v>21.69</v>
      </c>
      <c r="I54" s="2">
        <v>13.64</v>
      </c>
      <c r="J54" s="2">
        <v>1.36</v>
      </c>
    </row>
    <row r="55" spans="1:10" ht="30" x14ac:dyDescent="0.25">
      <c r="A55" s="2" t="s">
        <v>65</v>
      </c>
      <c r="B55" s="2">
        <v>26.65</v>
      </c>
      <c r="C55" s="2">
        <v>66.63</v>
      </c>
      <c r="D55" s="2">
        <v>46.24</v>
      </c>
      <c r="E55" s="2">
        <v>115.6</v>
      </c>
      <c r="F55" s="2">
        <v>45.97</v>
      </c>
      <c r="G55" s="2">
        <v>114.93</v>
      </c>
      <c r="H55" s="2">
        <v>25.51</v>
      </c>
      <c r="I55" s="2">
        <v>16.38</v>
      </c>
      <c r="J55" s="2">
        <v>1.64</v>
      </c>
    </row>
    <row r="56" spans="1:10" ht="45" x14ac:dyDescent="0.25">
      <c r="A56" s="2" t="s">
        <v>66</v>
      </c>
      <c r="B56" s="2">
        <v>21.72</v>
      </c>
      <c r="C56" s="2">
        <v>54.3</v>
      </c>
      <c r="D56" s="2">
        <v>38.24</v>
      </c>
      <c r="E56" s="2">
        <v>95.6</v>
      </c>
      <c r="F56" s="2">
        <v>29.6</v>
      </c>
      <c r="G56" s="2">
        <v>74</v>
      </c>
      <c r="H56" s="2">
        <v>27.74</v>
      </c>
      <c r="I56" s="2">
        <v>14.15</v>
      </c>
      <c r="J56" s="2">
        <v>1.42</v>
      </c>
    </row>
    <row r="57" spans="1:10" x14ac:dyDescent="0.25">
      <c r="A57" s="2" t="s">
        <v>67</v>
      </c>
      <c r="B57" s="2">
        <v>19.28</v>
      </c>
      <c r="C57" s="2">
        <v>48.2</v>
      </c>
      <c r="D57" s="2">
        <v>49.1</v>
      </c>
      <c r="E57" s="2">
        <v>122.75</v>
      </c>
      <c r="F57" s="2">
        <v>35.770000000000003</v>
      </c>
      <c r="G57" s="2">
        <v>89.43</v>
      </c>
      <c r="H57" s="2">
        <v>21.36</v>
      </c>
      <c r="I57" s="2">
        <v>9.41</v>
      </c>
      <c r="J57" s="2">
        <v>0.94099999999999995</v>
      </c>
    </row>
    <row r="58" spans="1:10" ht="30" x14ac:dyDescent="0.25">
      <c r="A58" s="2" t="s">
        <v>68</v>
      </c>
      <c r="B58" s="2">
        <v>23.54</v>
      </c>
      <c r="C58" s="2">
        <v>58.85</v>
      </c>
      <c r="D58" s="2">
        <v>39.57</v>
      </c>
      <c r="E58" s="2">
        <v>98.93</v>
      </c>
      <c r="F58" s="2">
        <v>50.7</v>
      </c>
      <c r="G58" s="2">
        <v>126.75</v>
      </c>
      <c r="H58" s="2">
        <v>23.76</v>
      </c>
      <c r="I58" s="2">
        <v>11.86</v>
      </c>
      <c r="J58" s="2">
        <v>1.19</v>
      </c>
    </row>
    <row r="59" spans="1:10" x14ac:dyDescent="0.25">
      <c r="A59" s="2" t="s">
        <v>69</v>
      </c>
      <c r="B59" s="2">
        <v>20.62</v>
      </c>
      <c r="C59" s="2">
        <v>51.55</v>
      </c>
      <c r="D59" s="2">
        <v>33.44</v>
      </c>
      <c r="E59" s="2">
        <v>83.6</v>
      </c>
      <c r="F59" s="2">
        <v>55.5</v>
      </c>
      <c r="G59" s="2">
        <v>138.75</v>
      </c>
      <c r="H59" s="2">
        <v>23.17</v>
      </c>
      <c r="I59" s="2">
        <v>16.690000000000001</v>
      </c>
      <c r="J59" s="2">
        <v>1.67</v>
      </c>
    </row>
    <row r="60" spans="1:10" x14ac:dyDescent="0.25">
      <c r="A60" s="2" t="s">
        <v>70</v>
      </c>
      <c r="B60" s="2">
        <v>24.28</v>
      </c>
      <c r="C60" s="2">
        <v>60.7</v>
      </c>
      <c r="D60" s="2">
        <v>44.36</v>
      </c>
      <c r="E60" s="2">
        <v>110.9</v>
      </c>
      <c r="F60" s="2">
        <v>41.15</v>
      </c>
      <c r="G60" s="2">
        <v>102.88</v>
      </c>
      <c r="H60" s="2">
        <v>26.96</v>
      </c>
      <c r="I60" s="2">
        <v>15.54</v>
      </c>
      <c r="J60" s="2">
        <v>1.55</v>
      </c>
    </row>
    <row r="61" spans="1:10" x14ac:dyDescent="0.25">
      <c r="A61" s="2" t="s">
        <v>71</v>
      </c>
      <c r="B61" s="2">
        <v>35.19</v>
      </c>
      <c r="C61" s="2">
        <v>87.98</v>
      </c>
      <c r="D61" s="2">
        <v>46.86</v>
      </c>
      <c r="E61" s="2">
        <v>117.15</v>
      </c>
      <c r="F61" s="2">
        <v>57.93</v>
      </c>
      <c r="G61" s="2">
        <v>144.83000000000001</v>
      </c>
      <c r="H61" s="2">
        <v>32.01</v>
      </c>
      <c r="I61" s="2">
        <v>26.96</v>
      </c>
      <c r="J61" s="2">
        <v>2.7</v>
      </c>
    </row>
    <row r="62" spans="1:10" x14ac:dyDescent="0.25">
      <c r="A62" s="2" t="s">
        <v>72</v>
      </c>
      <c r="B62" s="2">
        <v>22.19</v>
      </c>
      <c r="C62" s="2">
        <v>55.48</v>
      </c>
      <c r="D62" s="2">
        <v>49.97</v>
      </c>
      <c r="E62" s="2">
        <v>124.93</v>
      </c>
      <c r="F62" s="2">
        <v>55.39</v>
      </c>
      <c r="G62" s="2">
        <v>138.47999999999999</v>
      </c>
      <c r="H62" s="2">
        <v>25.26</v>
      </c>
      <c r="I62" s="2">
        <v>16.03</v>
      </c>
      <c r="J62" s="2">
        <v>1.6</v>
      </c>
    </row>
    <row r="63" spans="1:10" x14ac:dyDescent="0.25">
      <c r="A63" s="2" t="s">
        <v>73</v>
      </c>
      <c r="B63" s="2">
        <v>23.35</v>
      </c>
      <c r="C63" s="2">
        <v>58.38</v>
      </c>
      <c r="D63" s="2">
        <v>50.3</v>
      </c>
      <c r="E63" s="2">
        <v>125.75</v>
      </c>
      <c r="F63" s="2">
        <v>37.08</v>
      </c>
      <c r="G63" s="2">
        <v>92.7</v>
      </c>
      <c r="H63" s="2">
        <v>21.07</v>
      </c>
      <c r="I63" s="2">
        <v>10.11</v>
      </c>
      <c r="J63" s="2">
        <v>1.01</v>
      </c>
    </row>
    <row r="64" spans="1:10" ht="30" x14ac:dyDescent="0.25">
      <c r="A64" s="2" t="s">
        <v>74</v>
      </c>
      <c r="B64" s="2">
        <v>28.45</v>
      </c>
      <c r="C64" s="2">
        <v>71.13</v>
      </c>
      <c r="D64" s="2">
        <v>50.99</v>
      </c>
      <c r="E64" s="2">
        <v>127.48</v>
      </c>
      <c r="F64" s="2">
        <v>51.19</v>
      </c>
      <c r="G64" s="2">
        <v>127.98</v>
      </c>
      <c r="H64" s="2">
        <v>29.68</v>
      </c>
      <c r="I64" s="2">
        <v>17.71</v>
      </c>
      <c r="J64" s="2">
        <v>1.77</v>
      </c>
    </row>
    <row r="65" spans="1:10" ht="30" x14ac:dyDescent="0.25">
      <c r="A65" s="2" t="s">
        <v>75</v>
      </c>
      <c r="B65" s="2">
        <v>23.02</v>
      </c>
      <c r="C65" s="2">
        <v>57.55</v>
      </c>
      <c r="D65" s="2">
        <v>45.02</v>
      </c>
      <c r="E65" s="2">
        <v>112.55</v>
      </c>
      <c r="F65" s="2">
        <v>85.27</v>
      </c>
      <c r="G65" s="2">
        <v>213.18</v>
      </c>
      <c r="H65" s="2">
        <v>26.71</v>
      </c>
      <c r="I65" s="2">
        <v>13.48</v>
      </c>
      <c r="J65" s="2">
        <v>1.35</v>
      </c>
    </row>
    <row r="66" spans="1:10" ht="60" x14ac:dyDescent="0.25">
      <c r="A66" s="2" t="s">
        <v>76</v>
      </c>
      <c r="B66" s="2">
        <v>25.39</v>
      </c>
      <c r="C66" s="2">
        <v>63.48</v>
      </c>
      <c r="D66" s="2">
        <v>33.5</v>
      </c>
      <c r="E66" s="2">
        <v>83.75</v>
      </c>
      <c r="F66" s="2">
        <v>42.61</v>
      </c>
      <c r="G66" s="2">
        <v>106.53</v>
      </c>
      <c r="H66" s="2">
        <v>29.23</v>
      </c>
      <c r="I66" s="2">
        <v>16.96</v>
      </c>
      <c r="J66" s="2">
        <v>1.7</v>
      </c>
    </row>
    <row r="67" spans="1:10" ht="45" x14ac:dyDescent="0.25">
      <c r="A67" s="2" t="s">
        <v>77</v>
      </c>
      <c r="B67" s="2">
        <v>25.48</v>
      </c>
      <c r="C67" s="2">
        <v>63.7</v>
      </c>
      <c r="D67" s="2">
        <v>45.84</v>
      </c>
      <c r="E67" s="2">
        <v>114.6</v>
      </c>
      <c r="F67" s="2">
        <v>62.1</v>
      </c>
      <c r="G67" s="2">
        <v>155.25</v>
      </c>
      <c r="H67" s="2">
        <v>37.24</v>
      </c>
      <c r="I67" s="2">
        <v>16.41</v>
      </c>
      <c r="J67" s="2">
        <v>1.64</v>
      </c>
    </row>
    <row r="68" spans="1:10" ht="60" x14ac:dyDescent="0.25">
      <c r="A68" s="2" t="s">
        <v>78</v>
      </c>
      <c r="B68" s="2">
        <v>25.83</v>
      </c>
      <c r="C68" s="2">
        <v>64.58</v>
      </c>
      <c r="D68" s="2">
        <v>45.15</v>
      </c>
      <c r="E68" s="2">
        <v>112.88</v>
      </c>
      <c r="F68" s="2">
        <v>52.93</v>
      </c>
      <c r="G68" s="2">
        <v>132.33000000000001</v>
      </c>
      <c r="H68" s="2">
        <v>34.49</v>
      </c>
      <c r="I68" s="2">
        <v>14.58</v>
      </c>
      <c r="J68" s="2">
        <v>1.46</v>
      </c>
    </row>
    <row r="69" spans="1:10" ht="30" x14ac:dyDescent="0.25">
      <c r="A69" s="2" t="s">
        <v>79</v>
      </c>
      <c r="B69" s="2">
        <v>27.66</v>
      </c>
      <c r="C69" s="2">
        <v>69.150000000000006</v>
      </c>
      <c r="D69" s="2">
        <v>34.21</v>
      </c>
      <c r="E69" s="2">
        <v>85.53</v>
      </c>
      <c r="F69" s="2">
        <v>67.55</v>
      </c>
      <c r="G69" s="2">
        <v>168.88</v>
      </c>
      <c r="H69" s="2">
        <v>24.91</v>
      </c>
      <c r="I69" s="2">
        <v>18.61</v>
      </c>
      <c r="J69" s="2">
        <v>1.86</v>
      </c>
    </row>
    <row r="70" spans="1:10" ht="30" x14ac:dyDescent="0.25">
      <c r="A70" s="2" t="s">
        <v>80</v>
      </c>
      <c r="B70" s="2">
        <v>21.98</v>
      </c>
      <c r="C70" s="2">
        <v>54.95</v>
      </c>
      <c r="D70" s="2">
        <v>33.28</v>
      </c>
      <c r="E70" s="2">
        <v>83.2</v>
      </c>
      <c r="F70" s="2">
        <v>73.3</v>
      </c>
      <c r="G70" s="2">
        <v>183.25</v>
      </c>
      <c r="H70" s="2">
        <v>25.6</v>
      </c>
      <c r="I70" s="2">
        <v>15.55</v>
      </c>
      <c r="J70" s="2">
        <v>1.56</v>
      </c>
    </row>
    <row r="71" spans="1:10" x14ac:dyDescent="0.25">
      <c r="A71" s="2" t="s">
        <v>81</v>
      </c>
      <c r="B71" s="2">
        <v>21.82</v>
      </c>
      <c r="C71" s="2">
        <v>54.55</v>
      </c>
      <c r="D71" s="2">
        <v>31.92</v>
      </c>
      <c r="E71" s="2">
        <v>79.8</v>
      </c>
      <c r="F71" s="2">
        <v>42.14</v>
      </c>
      <c r="G71" s="2">
        <v>105.35</v>
      </c>
      <c r="H71" s="2">
        <v>24.28</v>
      </c>
      <c r="I71" s="2">
        <v>19.36</v>
      </c>
      <c r="J71" s="2">
        <v>1.94</v>
      </c>
    </row>
    <row r="72" spans="1:10" ht="30" x14ac:dyDescent="0.25">
      <c r="A72" s="2" t="s">
        <v>82</v>
      </c>
      <c r="B72" s="2">
        <v>15.69</v>
      </c>
      <c r="C72" s="2">
        <v>39.229999999999997</v>
      </c>
      <c r="D72" s="2">
        <v>43.28</v>
      </c>
      <c r="E72" s="2">
        <v>108.2</v>
      </c>
      <c r="F72" s="2">
        <v>36.18</v>
      </c>
      <c r="G72" s="2">
        <v>90.45</v>
      </c>
      <c r="H72" s="2">
        <v>22.88</v>
      </c>
      <c r="I72" s="2">
        <v>8.33</v>
      </c>
      <c r="J72" s="2">
        <v>0.83299999999999996</v>
      </c>
    </row>
    <row r="73" spans="1:10" ht="30" x14ac:dyDescent="0.25">
      <c r="A73" s="2" t="s">
        <v>83</v>
      </c>
      <c r="B73" s="2">
        <v>22.78</v>
      </c>
      <c r="C73" s="2">
        <v>56.95</v>
      </c>
      <c r="D73" s="2">
        <v>44.78</v>
      </c>
      <c r="E73" s="2">
        <v>111.95</v>
      </c>
      <c r="F73" s="2">
        <v>45.47</v>
      </c>
      <c r="G73" s="2">
        <v>113.68</v>
      </c>
      <c r="H73" s="2">
        <v>24.9</v>
      </c>
      <c r="I73" s="2">
        <v>12.86</v>
      </c>
      <c r="J73" s="2">
        <v>1.29</v>
      </c>
    </row>
    <row r="74" spans="1:10" x14ac:dyDescent="0.25">
      <c r="A74" s="2" t="s">
        <v>84</v>
      </c>
      <c r="B74" s="2">
        <v>24.34</v>
      </c>
      <c r="C74" s="2">
        <v>60.85</v>
      </c>
      <c r="D74" s="2">
        <v>46.38</v>
      </c>
      <c r="E74" s="2">
        <v>115.95</v>
      </c>
      <c r="F74" s="2">
        <v>40.39</v>
      </c>
      <c r="G74" s="2">
        <v>100.98</v>
      </c>
      <c r="H74" s="2">
        <v>25.8</v>
      </c>
      <c r="I74" s="2">
        <v>16.46</v>
      </c>
      <c r="J74" s="2">
        <v>1.65</v>
      </c>
    </row>
    <row r="75" spans="1:10" x14ac:dyDescent="0.25">
      <c r="A75" s="2" t="s">
        <v>85</v>
      </c>
      <c r="B75" s="2">
        <v>19.899999999999999</v>
      </c>
      <c r="C75" s="2">
        <v>49.75</v>
      </c>
      <c r="D75" s="2">
        <v>35.549999999999997</v>
      </c>
      <c r="E75" s="2">
        <v>88.88</v>
      </c>
      <c r="F75" s="2">
        <v>100.29</v>
      </c>
      <c r="G75" s="2">
        <v>250.73</v>
      </c>
      <c r="H75" s="2">
        <v>32.07</v>
      </c>
      <c r="I75" s="2">
        <v>15.48</v>
      </c>
      <c r="J75" s="2">
        <v>1.55</v>
      </c>
    </row>
    <row r="76" spans="1:10" ht="30" x14ac:dyDescent="0.25">
      <c r="A76" s="2" t="s">
        <v>86</v>
      </c>
      <c r="B76" s="2">
        <v>24.37</v>
      </c>
      <c r="C76" s="2">
        <v>60.93</v>
      </c>
      <c r="D76" s="2">
        <v>30.86</v>
      </c>
      <c r="E76" s="2">
        <v>77.150000000000006</v>
      </c>
      <c r="F76" s="2">
        <v>69.5</v>
      </c>
      <c r="G76" s="2">
        <v>173.75</v>
      </c>
      <c r="H76" s="2">
        <v>25.09</v>
      </c>
      <c r="I76" s="2">
        <v>18.97</v>
      </c>
      <c r="J76" s="2">
        <v>1.9</v>
      </c>
    </row>
    <row r="77" spans="1:10" ht="30" x14ac:dyDescent="0.25">
      <c r="A77" s="2" t="s">
        <v>87</v>
      </c>
      <c r="B77" s="2">
        <v>22.66</v>
      </c>
      <c r="C77" s="2">
        <v>56.65</v>
      </c>
      <c r="D77" s="2">
        <v>52.49</v>
      </c>
      <c r="E77" s="2">
        <v>131.22999999999999</v>
      </c>
      <c r="F77" s="2">
        <v>43.35</v>
      </c>
      <c r="G77" s="2">
        <v>108.38</v>
      </c>
      <c r="H77" s="2">
        <v>25.45</v>
      </c>
      <c r="I77" s="2">
        <v>16.21</v>
      </c>
      <c r="J77" s="2">
        <v>1.62</v>
      </c>
    </row>
    <row r="78" spans="1:10" ht="30" x14ac:dyDescent="0.25">
      <c r="A78" s="2" t="s">
        <v>88</v>
      </c>
      <c r="B78" s="2">
        <v>25.6</v>
      </c>
      <c r="C78" s="2">
        <v>64</v>
      </c>
      <c r="D78" s="2">
        <v>43.7</v>
      </c>
      <c r="E78" s="2">
        <v>109.25</v>
      </c>
      <c r="F78" s="2">
        <v>66.7</v>
      </c>
      <c r="G78" s="2">
        <v>166.75</v>
      </c>
      <c r="H78" s="2">
        <v>26.19</v>
      </c>
      <c r="I78" s="2">
        <v>14.85</v>
      </c>
      <c r="J78" s="2">
        <v>1.49</v>
      </c>
    </row>
    <row r="79" spans="1:10" x14ac:dyDescent="0.25">
      <c r="A79" s="2" t="s">
        <v>89</v>
      </c>
      <c r="B79" s="2">
        <v>24.82</v>
      </c>
      <c r="C79" s="2">
        <v>62.05</v>
      </c>
      <c r="D79" s="2">
        <v>51.42</v>
      </c>
      <c r="E79" s="2">
        <v>128.55000000000001</v>
      </c>
      <c r="F79" s="2">
        <v>41.95</v>
      </c>
      <c r="G79" s="2">
        <v>104.88</v>
      </c>
      <c r="H79" s="2">
        <v>24.34</v>
      </c>
      <c r="I79" s="2">
        <v>14.38</v>
      </c>
      <c r="J79" s="2">
        <v>1.44</v>
      </c>
    </row>
    <row r="80" spans="1:10" x14ac:dyDescent="0.25">
      <c r="A80" s="2" t="s">
        <v>90</v>
      </c>
      <c r="B80" s="2">
        <v>21.43</v>
      </c>
      <c r="C80" s="2">
        <v>53.58</v>
      </c>
      <c r="D80" s="2">
        <v>57.98</v>
      </c>
      <c r="E80" s="2">
        <v>144.94999999999999</v>
      </c>
      <c r="F80" s="2">
        <v>83.43</v>
      </c>
      <c r="G80" s="2">
        <v>208.58</v>
      </c>
      <c r="H80" s="2">
        <v>34.31</v>
      </c>
      <c r="I80" s="2">
        <v>11.98</v>
      </c>
      <c r="J80" s="2">
        <v>1.2</v>
      </c>
    </row>
    <row r="81" spans="1:10" ht="30" x14ac:dyDescent="0.25">
      <c r="A81" s="2" t="s">
        <v>91</v>
      </c>
      <c r="B81" s="2">
        <v>19.98</v>
      </c>
      <c r="C81" s="2">
        <v>49.95</v>
      </c>
      <c r="D81" s="2">
        <v>59.98</v>
      </c>
      <c r="E81" s="2">
        <v>149.94999999999999</v>
      </c>
      <c r="F81" s="2">
        <v>121.75</v>
      </c>
      <c r="G81" s="2">
        <v>304.38</v>
      </c>
      <c r="H81" s="2">
        <v>33.119999999999997</v>
      </c>
      <c r="I81" s="2">
        <v>13.27</v>
      </c>
      <c r="J81" s="2">
        <v>1.33</v>
      </c>
    </row>
    <row r="82" spans="1:10" x14ac:dyDescent="0.25">
      <c r="A82" s="2" t="s">
        <v>92</v>
      </c>
      <c r="B82" s="2">
        <v>22.15</v>
      </c>
      <c r="C82" s="2">
        <v>55.38</v>
      </c>
      <c r="D82" s="2">
        <v>40.97</v>
      </c>
      <c r="E82" s="2">
        <v>102.43</v>
      </c>
      <c r="F82" s="2">
        <v>71.069999999999993</v>
      </c>
      <c r="G82" s="2">
        <v>177.68</v>
      </c>
      <c r="H82" s="2">
        <v>30.63</v>
      </c>
      <c r="I82" s="2">
        <v>15.76</v>
      </c>
      <c r="J82" s="2">
        <v>1.58</v>
      </c>
    </row>
    <row r="83" spans="1:10" ht="30" x14ac:dyDescent="0.25">
      <c r="A83" s="2" t="s">
        <v>93</v>
      </c>
      <c r="B83" s="2">
        <v>21.43</v>
      </c>
      <c r="C83" s="2">
        <v>53.58</v>
      </c>
      <c r="D83" s="2">
        <v>38.65</v>
      </c>
      <c r="E83" s="2">
        <v>96.63</v>
      </c>
      <c r="F83" s="2">
        <v>56.3</v>
      </c>
      <c r="G83" s="2">
        <v>140.75</v>
      </c>
      <c r="H83" s="2">
        <v>35.1</v>
      </c>
      <c r="I83" s="2">
        <v>12.37</v>
      </c>
      <c r="J83" s="2">
        <v>1.24</v>
      </c>
    </row>
    <row r="84" spans="1:10" x14ac:dyDescent="0.25">
      <c r="A84" s="2" t="s">
        <v>94</v>
      </c>
      <c r="B84" s="2">
        <v>26.29</v>
      </c>
      <c r="C84" s="2">
        <v>65.73</v>
      </c>
      <c r="D84" s="2">
        <v>40.119999999999997</v>
      </c>
      <c r="E84" s="2">
        <v>100.3</v>
      </c>
      <c r="F84" s="2">
        <v>49.27</v>
      </c>
      <c r="G84" s="2">
        <v>123.18</v>
      </c>
      <c r="H84" s="2">
        <v>25.04</v>
      </c>
      <c r="I84" s="2">
        <v>16.84</v>
      </c>
      <c r="J84" s="2">
        <v>1.68</v>
      </c>
    </row>
    <row r="85" spans="1:10" x14ac:dyDescent="0.25">
      <c r="A85" s="2" t="s">
        <v>95</v>
      </c>
      <c r="B85" s="2">
        <v>24.59</v>
      </c>
      <c r="C85" s="2">
        <v>61.48</v>
      </c>
      <c r="D85" s="2">
        <v>44.52</v>
      </c>
      <c r="E85" s="2">
        <v>111.3</v>
      </c>
      <c r="F85" s="2">
        <v>44.37</v>
      </c>
      <c r="G85" s="2">
        <v>110.93</v>
      </c>
      <c r="H85" s="2">
        <v>24.87</v>
      </c>
      <c r="I85" s="2">
        <v>17.75</v>
      </c>
      <c r="J85" s="2">
        <v>1.78</v>
      </c>
    </row>
    <row r="86" spans="1:10" ht="30" x14ac:dyDescent="0.25">
      <c r="A86" s="2" t="s">
        <v>96</v>
      </c>
      <c r="B86" s="2">
        <v>24.28</v>
      </c>
      <c r="C86" s="2">
        <v>60.7</v>
      </c>
      <c r="D86" s="2">
        <v>43.68</v>
      </c>
      <c r="E86" s="2">
        <v>109.2</v>
      </c>
      <c r="F86" s="2">
        <v>78.88</v>
      </c>
      <c r="G86" s="2">
        <v>197.2</v>
      </c>
      <c r="H86" s="2">
        <v>27.05</v>
      </c>
      <c r="I86" s="2">
        <v>15.64</v>
      </c>
      <c r="J86" s="2">
        <v>1.56</v>
      </c>
    </row>
    <row r="87" spans="1:10" x14ac:dyDescent="0.25">
      <c r="A87" s="2" t="s">
        <v>97</v>
      </c>
      <c r="B87" s="2">
        <v>25.86</v>
      </c>
      <c r="C87" s="2">
        <v>64.650000000000006</v>
      </c>
      <c r="D87" s="2">
        <v>46.55</v>
      </c>
      <c r="E87" s="2">
        <v>116.38</v>
      </c>
      <c r="F87" s="2">
        <v>30.34</v>
      </c>
      <c r="G87" s="2">
        <v>75.849999999999994</v>
      </c>
      <c r="H87" s="2">
        <v>24.66</v>
      </c>
      <c r="I87" s="2">
        <v>20.77</v>
      </c>
      <c r="J87" s="2">
        <v>2.08</v>
      </c>
    </row>
    <row r="88" spans="1:10" x14ac:dyDescent="0.25">
      <c r="A88" s="2" t="s">
        <v>98</v>
      </c>
      <c r="B88" s="2">
        <v>23.12</v>
      </c>
      <c r="C88" s="2">
        <v>57.8</v>
      </c>
      <c r="D88" s="2">
        <v>46.19</v>
      </c>
      <c r="E88" s="2">
        <v>115.48</v>
      </c>
      <c r="F88" s="2">
        <v>47.94</v>
      </c>
      <c r="G88" s="2">
        <v>119.85</v>
      </c>
      <c r="H88" s="2">
        <v>25.05</v>
      </c>
      <c r="I88" s="2">
        <v>16.16</v>
      </c>
      <c r="J88" s="2">
        <v>1.62</v>
      </c>
    </row>
    <row r="89" spans="1:10" ht="45" x14ac:dyDescent="0.25">
      <c r="A89" s="2" t="s">
        <v>99</v>
      </c>
      <c r="B89" s="2">
        <v>19.989999999999998</v>
      </c>
      <c r="C89" s="2">
        <v>49.98</v>
      </c>
      <c r="D89" s="2">
        <v>38.46</v>
      </c>
      <c r="E89" s="2">
        <v>96.15</v>
      </c>
      <c r="F89" s="2">
        <v>53.61</v>
      </c>
      <c r="G89" s="2">
        <v>134.03</v>
      </c>
      <c r="H89" s="2">
        <v>30.5</v>
      </c>
      <c r="I89" s="2">
        <v>13.59</v>
      </c>
      <c r="J89" s="2">
        <v>1.36</v>
      </c>
    </row>
    <row r="90" spans="1:10" x14ac:dyDescent="0.25">
      <c r="A90" s="2" t="s">
        <v>100</v>
      </c>
      <c r="B90" s="2">
        <v>20.32</v>
      </c>
      <c r="C90" s="2">
        <v>50.8</v>
      </c>
      <c r="D90" s="2">
        <v>20.5</v>
      </c>
      <c r="E90" s="2">
        <v>51.25</v>
      </c>
      <c r="F90" s="2">
        <v>25.31</v>
      </c>
      <c r="G90" s="2">
        <v>63.28</v>
      </c>
      <c r="H90" s="2">
        <v>16.52</v>
      </c>
      <c r="I90" s="2">
        <v>16.28</v>
      </c>
      <c r="J90" s="2">
        <v>1.63</v>
      </c>
    </row>
    <row r="91" spans="1:10" ht="30" x14ac:dyDescent="0.25">
      <c r="A91" s="2" t="s">
        <v>101</v>
      </c>
      <c r="B91" s="2">
        <v>22.24</v>
      </c>
      <c r="C91" s="2">
        <v>55.6</v>
      </c>
      <c r="D91" s="2">
        <v>46.82</v>
      </c>
      <c r="E91" s="2">
        <v>117.05</v>
      </c>
      <c r="F91" s="2">
        <v>55.27</v>
      </c>
      <c r="G91" s="2">
        <v>138.18</v>
      </c>
      <c r="H91" s="2">
        <v>25.77</v>
      </c>
      <c r="I91" s="2">
        <v>15.3</v>
      </c>
      <c r="J91" s="2">
        <v>1.53</v>
      </c>
    </row>
    <row r="92" spans="1:10" ht="30" x14ac:dyDescent="0.25">
      <c r="A92" s="2" t="s">
        <v>102</v>
      </c>
      <c r="B92" s="2">
        <v>19.260000000000002</v>
      </c>
      <c r="C92" s="2">
        <v>48.15</v>
      </c>
      <c r="D92" s="2">
        <v>31.54</v>
      </c>
      <c r="E92" s="2">
        <v>78.849999999999994</v>
      </c>
      <c r="F92" s="2">
        <v>61.32</v>
      </c>
      <c r="G92" s="2">
        <v>153.30000000000001</v>
      </c>
      <c r="H92" s="2">
        <v>22.62</v>
      </c>
      <c r="I92" s="2">
        <v>12.66</v>
      </c>
      <c r="J92" s="2">
        <v>1.27</v>
      </c>
    </row>
    <row r="93" spans="1:10" ht="30" x14ac:dyDescent="0.25">
      <c r="A93" s="2" t="s">
        <v>103</v>
      </c>
      <c r="B93" s="2">
        <v>23.84</v>
      </c>
      <c r="C93" s="2">
        <v>59.6</v>
      </c>
      <c r="D93" s="2">
        <v>39.21</v>
      </c>
      <c r="E93" s="2">
        <v>98.03</v>
      </c>
      <c r="F93" s="2">
        <v>69.92</v>
      </c>
      <c r="G93" s="2">
        <v>174.8</v>
      </c>
      <c r="H93" s="2">
        <v>26.4</v>
      </c>
      <c r="I93" s="2">
        <v>16.899999999999999</v>
      </c>
      <c r="J93" s="2">
        <v>1.69</v>
      </c>
    </row>
    <row r="94" spans="1:10" ht="30" x14ac:dyDescent="0.25">
      <c r="A94" s="2" t="s">
        <v>104</v>
      </c>
      <c r="B94" s="2">
        <v>17.899999999999999</v>
      </c>
      <c r="C94" s="2">
        <v>44.75</v>
      </c>
      <c r="D94" s="2">
        <v>22.57</v>
      </c>
      <c r="E94" s="2">
        <v>56.43</v>
      </c>
      <c r="F94" s="2">
        <v>22.88</v>
      </c>
      <c r="G94" s="2">
        <v>57.2</v>
      </c>
      <c r="H94" s="2">
        <v>22.38</v>
      </c>
      <c r="I94" s="2">
        <v>17.899999999999999</v>
      </c>
      <c r="J94" s="2">
        <v>1.79</v>
      </c>
    </row>
    <row r="95" spans="1:10" ht="45" x14ac:dyDescent="0.25">
      <c r="A95" s="2" t="s">
        <v>105</v>
      </c>
      <c r="B95" s="2">
        <v>25.7</v>
      </c>
      <c r="C95" s="2">
        <v>64.25</v>
      </c>
      <c r="D95" s="2">
        <v>39.869999999999997</v>
      </c>
      <c r="E95" s="2">
        <v>99.68</v>
      </c>
      <c r="F95" s="2">
        <v>46.84</v>
      </c>
      <c r="G95" s="2">
        <v>117.1</v>
      </c>
      <c r="H95" s="2">
        <v>36.43</v>
      </c>
      <c r="I95" s="2">
        <v>25.7</v>
      </c>
      <c r="J95" s="2">
        <v>2.57</v>
      </c>
    </row>
    <row r="96" spans="1:10" ht="30" x14ac:dyDescent="0.25">
      <c r="A96" s="2" t="s">
        <v>106</v>
      </c>
      <c r="B96" s="2">
        <v>24.53</v>
      </c>
      <c r="C96" s="2">
        <v>61.33</v>
      </c>
      <c r="D96" s="2">
        <v>37.119999999999997</v>
      </c>
      <c r="E96" s="2">
        <v>92.8</v>
      </c>
      <c r="F96" s="2">
        <v>60.35</v>
      </c>
      <c r="G96" s="2">
        <v>150.88</v>
      </c>
      <c r="H96" s="2">
        <v>33.01</v>
      </c>
      <c r="I96" s="2">
        <v>24.53</v>
      </c>
      <c r="J96" s="2">
        <v>2.4500000000000002</v>
      </c>
    </row>
    <row r="97" spans="1:10" ht="30" x14ac:dyDescent="0.25">
      <c r="A97" s="2" t="s">
        <v>107</v>
      </c>
      <c r="B97" s="2">
        <v>22.5</v>
      </c>
      <c r="C97" s="2">
        <v>56.25</v>
      </c>
      <c r="D97" s="2">
        <v>40.99</v>
      </c>
      <c r="E97" s="2">
        <v>102.48</v>
      </c>
      <c r="F97" s="2">
        <v>69.010000000000005</v>
      </c>
      <c r="G97" s="2">
        <v>172.53</v>
      </c>
      <c r="H97" s="2">
        <v>25.54</v>
      </c>
      <c r="I97" s="2">
        <v>17.45</v>
      </c>
      <c r="J97" s="2">
        <v>1.75</v>
      </c>
    </row>
    <row r="98" spans="1:10" ht="45" x14ac:dyDescent="0.25">
      <c r="A98" s="2" t="s">
        <v>108</v>
      </c>
      <c r="B98" s="2">
        <v>29</v>
      </c>
      <c r="C98" s="2">
        <v>72.5</v>
      </c>
      <c r="D98" s="2">
        <v>54.63</v>
      </c>
      <c r="E98" s="2">
        <v>136.58000000000001</v>
      </c>
      <c r="F98" s="2">
        <v>74.7</v>
      </c>
      <c r="G98" s="2">
        <v>186.75</v>
      </c>
      <c r="H98" s="2">
        <v>25.01</v>
      </c>
      <c r="I98" s="2">
        <v>22.32</v>
      </c>
      <c r="J98" s="2">
        <v>2.23</v>
      </c>
    </row>
    <row r="99" spans="1:10" ht="45" x14ac:dyDescent="0.25">
      <c r="A99" s="2" t="s">
        <v>109</v>
      </c>
      <c r="B99" s="2">
        <v>28.52</v>
      </c>
      <c r="C99" s="2">
        <v>71.3</v>
      </c>
      <c r="D99" s="2">
        <v>48.73</v>
      </c>
      <c r="E99" s="2">
        <v>121.83</v>
      </c>
      <c r="F99" s="2">
        <v>26.76</v>
      </c>
      <c r="G99" s="2">
        <v>66.900000000000006</v>
      </c>
      <c r="H99" s="2">
        <v>22.13</v>
      </c>
      <c r="I99" s="2">
        <v>19.690000000000001</v>
      </c>
      <c r="J99" s="2">
        <v>1.97</v>
      </c>
    </row>
    <row r="100" spans="1:10" ht="30" x14ac:dyDescent="0.25">
      <c r="A100" s="2" t="s">
        <v>110</v>
      </c>
      <c r="B100" s="2">
        <v>28.51</v>
      </c>
      <c r="C100" s="2">
        <v>71.28</v>
      </c>
      <c r="D100" s="2">
        <v>64.61</v>
      </c>
      <c r="E100" s="2">
        <v>161.53</v>
      </c>
      <c r="F100" s="2">
        <v>64.88</v>
      </c>
      <c r="G100" s="2">
        <v>162.19999999999999</v>
      </c>
      <c r="H100" s="2">
        <v>26.24</v>
      </c>
      <c r="I100" s="2">
        <v>23.22</v>
      </c>
      <c r="J100" s="2">
        <v>2.3199999999999998</v>
      </c>
    </row>
    <row r="101" spans="1:10" ht="30" x14ac:dyDescent="0.25">
      <c r="A101" s="2" t="s">
        <v>111</v>
      </c>
      <c r="B101" s="2">
        <v>27.41</v>
      </c>
      <c r="C101" s="2">
        <v>68.53</v>
      </c>
      <c r="D101" s="2">
        <v>44.13</v>
      </c>
      <c r="E101" s="2">
        <v>110.33</v>
      </c>
      <c r="F101" s="2">
        <v>32.380000000000003</v>
      </c>
      <c r="G101" s="2">
        <v>80.95</v>
      </c>
      <c r="H101" s="2">
        <v>25.68</v>
      </c>
      <c r="I101" s="2">
        <v>21.73</v>
      </c>
      <c r="J101" s="2">
        <v>2.17</v>
      </c>
    </row>
    <row r="102" spans="1:10" ht="30" x14ac:dyDescent="0.25">
      <c r="A102" s="2" t="s">
        <v>112</v>
      </c>
      <c r="B102" s="2">
        <v>31.03</v>
      </c>
      <c r="C102" s="2">
        <v>77.58</v>
      </c>
      <c r="D102" s="2">
        <v>18.12</v>
      </c>
      <c r="E102" s="2">
        <v>45.3</v>
      </c>
      <c r="F102" s="2">
        <v>7.77</v>
      </c>
      <c r="G102" s="2">
        <v>19.43</v>
      </c>
      <c r="H102" s="2">
        <v>20.75</v>
      </c>
      <c r="I102" s="2">
        <v>25.04</v>
      </c>
      <c r="J102" s="2">
        <v>2.5</v>
      </c>
    </row>
    <row r="103" spans="1:10" x14ac:dyDescent="0.25">
      <c r="A103" s="3" t="s">
        <v>113</v>
      </c>
      <c r="B103" s="3">
        <v>23.67</v>
      </c>
      <c r="C103" s="3">
        <v>59.18</v>
      </c>
      <c r="D103" s="3">
        <v>39.79</v>
      </c>
      <c r="E103" s="3">
        <v>99.48</v>
      </c>
      <c r="F103" s="3">
        <v>51.19</v>
      </c>
      <c r="G103" s="3">
        <v>127.98</v>
      </c>
      <c r="H103" s="3">
        <v>26.95</v>
      </c>
      <c r="I103" s="3">
        <v>16.28</v>
      </c>
      <c r="J103" s="3">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DDB9-FBC4-4659-BD24-E5226AB7FF61}">
  <dimension ref="A1:C5"/>
  <sheetViews>
    <sheetView topLeftCell="A3" workbookViewId="0">
      <selection activeCell="C4" sqref="C4"/>
    </sheetView>
  </sheetViews>
  <sheetFormatPr baseColWidth="10" defaultRowHeight="15" x14ac:dyDescent="0.25"/>
  <sheetData>
    <row r="1" spans="1:3" ht="30" x14ac:dyDescent="0.25">
      <c r="A1" s="1" t="s">
        <v>114</v>
      </c>
      <c r="B1" s="1" t="s">
        <v>115</v>
      </c>
      <c r="C1" s="1" t="s">
        <v>116</v>
      </c>
    </row>
    <row r="2" spans="1:3" ht="45" x14ac:dyDescent="0.25">
      <c r="A2" s="2" t="s">
        <v>117</v>
      </c>
      <c r="B2" s="4">
        <v>23.67</v>
      </c>
      <c r="C2" s="4">
        <v>59.18</v>
      </c>
    </row>
    <row r="3" spans="1:3" ht="90" x14ac:dyDescent="0.25">
      <c r="A3" s="2" t="s">
        <v>118</v>
      </c>
      <c r="B3" s="4">
        <v>39.79</v>
      </c>
      <c r="C3" s="4">
        <v>99.48</v>
      </c>
    </row>
    <row r="4" spans="1:3" ht="90" x14ac:dyDescent="0.25">
      <c r="A4" s="2" t="s">
        <v>119</v>
      </c>
      <c r="B4" s="4">
        <v>51.19</v>
      </c>
      <c r="C4" s="4">
        <v>127.98</v>
      </c>
    </row>
    <row r="5" spans="1:3" ht="75" x14ac:dyDescent="0.25">
      <c r="A5" s="2" t="s">
        <v>120</v>
      </c>
      <c r="B5" s="4">
        <v>26.95</v>
      </c>
      <c r="C5" s="4">
        <v>53.9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1_Simulation produit communal</vt:lpstr>
      <vt:lpstr>2_Synthese</vt:lpstr>
      <vt:lpstr>3_Simulation sur contribuable</vt:lpstr>
      <vt:lpstr>Taux départementaux</vt:lpstr>
      <vt:lpstr>Taux nationaux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Le mons</dc:creator>
  <cp:lastModifiedBy>johann Le mons</cp:lastModifiedBy>
  <dcterms:created xsi:type="dcterms:W3CDTF">2026-05-23T14:09:54Z</dcterms:created>
  <dcterms:modified xsi:type="dcterms:W3CDTF">2026-06-21T16:45:14Z</dcterms:modified>
</cp:coreProperties>
</file>