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ohann\Downloads\"/>
    </mc:Choice>
  </mc:AlternateContent>
  <xr:revisionPtr revIDLastSave="0" documentId="13_ncr:1_{B55CED18-B178-4249-A8EC-ECD31F0C754C}" xr6:coauthVersionLast="47" xr6:coauthVersionMax="47" xr10:uidLastSave="{00000000-0000-0000-0000-000000000000}"/>
  <bookViews>
    <workbookView xWindow="2520" yWindow="630" windowWidth="15375" windowHeight="9810" xr2:uid="{7A8756F6-E478-4E4C-83CA-AC3728ACCA49}"/>
  </bookViews>
  <sheets>
    <sheet name="1_Simulation produit communal" sheetId="1" r:id="rId1"/>
    <sheet name="2_Synthese" sheetId="5" r:id="rId2"/>
    <sheet name="3_Simulation sur contribuable" sheetId="6" r:id="rId3"/>
    <sheet name="Taux départementaux" sheetId="2" state="hidden" r:id="rId4"/>
    <sheet name="Taux nationaux"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8" i="1" l="1"/>
  <c r="C55" i="1"/>
  <c r="C54" i="1"/>
  <c r="C53" i="1"/>
  <c r="A19" i="6"/>
  <c r="A32" i="6"/>
  <c r="G43" i="6"/>
  <c r="D43" i="6"/>
  <c r="E43" i="6"/>
  <c r="F43" i="6"/>
  <c r="B43" i="6"/>
  <c r="C43" i="6"/>
  <c r="B42" i="6"/>
  <c r="J16" i="1"/>
  <c r="E14" i="6"/>
  <c r="D14" i="6"/>
  <c r="F14" i="6"/>
  <c r="A1" i="6"/>
  <c r="A3" i="5"/>
  <c r="A4" i="5"/>
  <c r="A2" i="5"/>
  <c r="A61" i="1"/>
  <c r="A45" i="1"/>
  <c r="A34" i="1"/>
  <c r="A27" i="1"/>
  <c r="A12" i="1"/>
  <c r="A91" i="1"/>
  <c r="D58" i="1"/>
  <c r="D17" i="1"/>
  <c r="G17" i="1"/>
  <c r="D79" i="1"/>
  <c r="C40" i="6" s="1"/>
  <c r="C79" i="1"/>
  <c r="B40" i="6" s="1"/>
  <c r="A55" i="1"/>
  <c r="A54" i="1"/>
  <c r="A53" i="1"/>
  <c r="I16" i="1"/>
  <c r="I15" i="1"/>
  <c r="I14" i="1"/>
  <c r="H16" i="1"/>
  <c r="H15" i="1"/>
  <c r="H14" i="1"/>
  <c r="C8" i="6"/>
  <c r="C9" i="6"/>
  <c r="C10" i="6"/>
  <c r="C7" i="6"/>
  <c r="F52" i="6"/>
  <c r="D78" i="1"/>
  <c r="E79" i="1"/>
  <c r="D40" i="6" s="1"/>
  <c r="E78" i="1" l="1"/>
  <c r="D80" i="1"/>
  <c r="D83" i="1" s="1"/>
  <c r="C80" i="1"/>
  <c r="F79" i="1"/>
  <c r="E40" i="6" s="1"/>
  <c r="G79" i="1"/>
  <c r="F40" i="6" s="1"/>
  <c r="H79" i="1"/>
  <c r="G40" i="6" s="1"/>
  <c r="C83" i="1" l="1"/>
  <c r="B11" i="5" s="1"/>
  <c r="C11" i="5"/>
  <c r="C12" i="5" s="1"/>
  <c r="F78" i="1"/>
  <c r="G78" i="1" s="1"/>
  <c r="H78" i="1" s="1"/>
  <c r="E80" i="1"/>
  <c r="C71" i="1"/>
  <c r="C67" i="1"/>
  <c r="C86" i="1"/>
  <c r="B13" i="5" s="1"/>
  <c r="B83" i="1"/>
  <c r="B82" i="1"/>
  <c r="B76" i="1"/>
  <c r="B75" i="1"/>
  <c r="C72" i="1"/>
  <c r="C68" i="1"/>
  <c r="C64" i="1"/>
  <c r="G16" i="1"/>
  <c r="C69" i="1"/>
  <c r="B7" i="5" s="1"/>
  <c r="C63" i="1"/>
  <c r="B7" i="1"/>
  <c r="D16" i="1"/>
  <c r="D15" i="1"/>
  <c r="D14" i="1"/>
  <c r="E16" i="1" l="1"/>
  <c r="D105" i="1"/>
  <c r="D64" i="1"/>
  <c r="C37" i="6" s="1"/>
  <c r="B37" i="6"/>
  <c r="D68" i="1"/>
  <c r="C38" i="6" s="1"/>
  <c r="B38" i="6"/>
  <c r="B39" i="6"/>
  <c r="D72" i="1"/>
  <c r="D95" i="1" s="1"/>
  <c r="E83" i="1"/>
  <c r="D11" i="5" s="1"/>
  <c r="D12" i="5" s="1"/>
  <c r="C97" i="1"/>
  <c r="D67" i="1"/>
  <c r="D71" i="1"/>
  <c r="F80" i="1"/>
  <c r="C73" i="1"/>
  <c r="C65" i="1"/>
  <c r="B24" i="6" l="1"/>
  <c r="C39" i="6"/>
  <c r="C24" i="6" s="1"/>
  <c r="E72" i="1"/>
  <c r="C76" i="1"/>
  <c r="F83" i="1"/>
  <c r="E11" i="5" s="1"/>
  <c r="E12" i="5" s="1"/>
  <c r="D73" i="1"/>
  <c r="D76" i="1" s="1"/>
  <c r="E71" i="1"/>
  <c r="D69" i="1"/>
  <c r="E68" i="1"/>
  <c r="D38" i="6" s="1"/>
  <c r="D94" i="1"/>
  <c r="E64" i="1"/>
  <c r="D63" i="1"/>
  <c r="D86" i="1" s="1"/>
  <c r="C13" i="5" s="1"/>
  <c r="C14" i="5" s="1"/>
  <c r="D93" i="1"/>
  <c r="D97" i="1"/>
  <c r="D98" i="1" s="1"/>
  <c r="B5" i="5"/>
  <c r="E94" i="1"/>
  <c r="E93" i="1"/>
  <c r="E100" i="1" s="1"/>
  <c r="G80" i="1"/>
  <c r="C9" i="5"/>
  <c r="B23" i="6" l="1"/>
  <c r="D103" i="1"/>
  <c r="F64" i="1"/>
  <c r="E37" i="6" s="1"/>
  <c r="D37" i="6"/>
  <c r="F72" i="1"/>
  <c r="D39" i="6"/>
  <c r="G83" i="1"/>
  <c r="F11" i="5" s="1"/>
  <c r="F12" i="5" s="1"/>
  <c r="F68" i="1"/>
  <c r="E38" i="6" s="1"/>
  <c r="C88" i="1"/>
  <c r="B9" i="5"/>
  <c r="B15" i="5" s="1"/>
  <c r="D100" i="1"/>
  <c r="D65" i="1"/>
  <c r="E63" i="1"/>
  <c r="E86" i="1" s="1"/>
  <c r="D13" i="5" s="1"/>
  <c r="D14" i="5" s="1"/>
  <c r="G68" i="1"/>
  <c r="F38" i="6" s="1"/>
  <c r="E67" i="1"/>
  <c r="E73" i="1"/>
  <c r="E76" i="1" s="1"/>
  <c r="F71" i="1"/>
  <c r="C7" i="5"/>
  <c r="C8" i="5" s="1"/>
  <c r="E95" i="1"/>
  <c r="F93" i="1"/>
  <c r="F94" i="1"/>
  <c r="H80" i="1"/>
  <c r="D9" i="5"/>
  <c r="D10" i="5" s="1"/>
  <c r="B25" i="6" l="1"/>
  <c r="B27" i="6" s="1"/>
  <c r="C23" i="6"/>
  <c r="B31" i="6"/>
  <c r="B32" i="6" s="1"/>
  <c r="B19" i="6"/>
  <c r="B20" i="6" s="1"/>
  <c r="D24" i="6"/>
  <c r="E39" i="6"/>
  <c r="E24" i="6" s="1"/>
  <c r="G72" i="1"/>
  <c r="H83" i="1"/>
  <c r="G11" i="5" s="1"/>
  <c r="H68" i="1"/>
  <c r="G38" i="6" s="1"/>
  <c r="D108" i="1"/>
  <c r="C10" i="5"/>
  <c r="F100" i="1"/>
  <c r="F73" i="1"/>
  <c r="F76" i="1" s="1"/>
  <c r="G71" i="1"/>
  <c r="F67" i="1"/>
  <c r="E69" i="1"/>
  <c r="D7" i="5" s="1"/>
  <c r="G64" i="1"/>
  <c r="F37" i="6" s="1"/>
  <c r="E65" i="1"/>
  <c r="F63" i="1"/>
  <c r="F86" i="1" s="1"/>
  <c r="E13" i="5" s="1"/>
  <c r="E14" i="5" s="1"/>
  <c r="E97" i="1"/>
  <c r="E98" i="1" s="1"/>
  <c r="D88" i="1"/>
  <c r="D89" i="1" s="1"/>
  <c r="C5" i="5"/>
  <c r="C15" i="5" s="1"/>
  <c r="D8" i="5"/>
  <c r="F97" i="1"/>
  <c r="F98" i="1" s="1"/>
  <c r="G94" i="1"/>
  <c r="F95" i="1"/>
  <c r="E9" i="5"/>
  <c r="E10" i="5" s="1"/>
  <c r="D23" i="6" l="1"/>
  <c r="C31" i="6"/>
  <c r="C32" i="6" s="1"/>
  <c r="C25" i="6"/>
  <c r="C27" i="6" s="1"/>
  <c r="B33" i="6"/>
  <c r="B34" i="6" s="1"/>
  <c r="C19" i="6"/>
  <c r="C20" i="6" s="1"/>
  <c r="F101" i="1"/>
  <c r="E103" i="1"/>
  <c r="F39" i="6"/>
  <c r="F24" i="6" s="1"/>
  <c r="H72" i="1"/>
  <c r="G95" i="1"/>
  <c r="C6" i="5"/>
  <c r="G12" i="5"/>
  <c r="H11" i="5"/>
  <c r="H12" i="5" s="1"/>
  <c r="G93" i="1"/>
  <c r="G100" i="1"/>
  <c r="C17" i="5"/>
  <c r="C16" i="5"/>
  <c r="F103" i="1"/>
  <c r="F65" i="1"/>
  <c r="G63" i="1"/>
  <c r="G86" i="1" s="1"/>
  <c r="F13" i="5" s="1"/>
  <c r="F14" i="5" s="1"/>
  <c r="E88" i="1"/>
  <c r="E89" i="1" s="1"/>
  <c r="D5" i="5"/>
  <c r="D15" i="5" s="1"/>
  <c r="H64" i="1"/>
  <c r="G67" i="1"/>
  <c r="F69" i="1"/>
  <c r="G73" i="1"/>
  <c r="G76" i="1" s="1"/>
  <c r="H71" i="1"/>
  <c r="H73" i="1" s="1"/>
  <c r="H76" i="1" s="1"/>
  <c r="G97" i="1"/>
  <c r="G98" i="1" s="1"/>
  <c r="E7" i="5"/>
  <c r="E8" i="5" s="1"/>
  <c r="H94" i="1"/>
  <c r="F9" i="5"/>
  <c r="F10" i="5" s="1"/>
  <c r="D25" i="6" l="1"/>
  <c r="D27" i="6" s="1"/>
  <c r="C33" i="6"/>
  <c r="C34" i="6" s="1"/>
  <c r="C35" i="6" s="1"/>
  <c r="E23" i="6"/>
  <c r="D31" i="6"/>
  <c r="D32" i="6" s="1"/>
  <c r="D19" i="6"/>
  <c r="D20" i="6" s="1"/>
  <c r="D107" i="1"/>
  <c r="G37" i="6"/>
  <c r="G39" i="6"/>
  <c r="H95" i="1"/>
  <c r="D109" i="1"/>
  <c r="G103" i="1"/>
  <c r="G101" i="1"/>
  <c r="H93" i="1"/>
  <c r="H100" i="1" s="1"/>
  <c r="H67" i="1"/>
  <c r="H69" i="1" s="1"/>
  <c r="G7" i="5" s="1"/>
  <c r="H7" i="5" s="1"/>
  <c r="H8" i="5" s="1"/>
  <c r="G69" i="1"/>
  <c r="F7" i="5" s="1"/>
  <c r="D6" i="5"/>
  <c r="G65" i="1"/>
  <c r="H63" i="1"/>
  <c r="H86" i="1" s="1"/>
  <c r="G13" i="5" s="1"/>
  <c r="F88" i="1"/>
  <c r="F89" i="1" s="1"/>
  <c r="E5" i="5"/>
  <c r="E15" i="5" s="1"/>
  <c r="F8" i="5"/>
  <c r="G8" i="5"/>
  <c r="H97" i="1"/>
  <c r="H98" i="1" s="1"/>
  <c r="G9" i="5"/>
  <c r="E31" i="6" l="1"/>
  <c r="E32" i="6" s="1"/>
  <c r="F23" i="6"/>
  <c r="E25" i="6"/>
  <c r="E27" i="6" s="1"/>
  <c r="D33" i="6"/>
  <c r="D34" i="6" s="1"/>
  <c r="D35" i="6" s="1"/>
  <c r="E19" i="6"/>
  <c r="E20" i="6" s="1"/>
  <c r="G24" i="6"/>
  <c r="G14" i="5"/>
  <c r="H13" i="5"/>
  <c r="H14" i="5" s="1"/>
  <c r="E6" i="5"/>
  <c r="G10" i="5"/>
  <c r="H9" i="5"/>
  <c r="H10" i="5" s="1"/>
  <c r="E17" i="5"/>
  <c r="E16" i="5"/>
  <c r="D17" i="5"/>
  <c r="D16" i="5"/>
  <c r="H103" i="1"/>
  <c r="H101" i="1"/>
  <c r="H65" i="1"/>
  <c r="G88" i="1"/>
  <c r="G89" i="1" s="1"/>
  <c r="F5" i="5"/>
  <c r="F15" i="5" s="1"/>
  <c r="F25" i="6" l="1"/>
  <c r="F27" i="6" s="1"/>
  <c r="E33" i="6"/>
  <c r="E34" i="6" s="1"/>
  <c r="E35" i="6" s="1"/>
  <c r="F31" i="6"/>
  <c r="F32" i="6" s="1"/>
  <c r="G23" i="6"/>
  <c r="H23" i="6" s="1"/>
  <c r="H24" i="6"/>
  <c r="G31" i="6"/>
  <c r="F19" i="6"/>
  <c r="F20" i="6" s="1"/>
  <c r="H31" i="6"/>
  <c r="F6" i="5"/>
  <c r="H88" i="1"/>
  <c r="H89" i="1" s="1"/>
  <c r="G5" i="5"/>
  <c r="G15" i="5" s="1"/>
  <c r="G25" i="6" l="1"/>
  <c r="G27" i="6" s="1"/>
  <c r="F33" i="6"/>
  <c r="F34" i="6" s="1"/>
  <c r="F35" i="6" s="1"/>
  <c r="G32" i="6"/>
  <c r="H32" i="6" s="1"/>
  <c r="H5" i="5"/>
  <c r="H6" i="5" s="1"/>
  <c r="F17" i="5"/>
  <c r="F16" i="5"/>
  <c r="G6" i="5"/>
  <c r="H27" i="6" l="1"/>
  <c r="G33" i="6"/>
  <c r="H33" i="6" s="1"/>
  <c r="G34" i="6"/>
  <c r="G19" i="6"/>
  <c r="G20" i="6" s="1"/>
  <c r="H19" i="6" s="1"/>
  <c r="G35" i="6"/>
  <c r="H34" i="6"/>
  <c r="G16" i="5"/>
  <c r="H15" i="5"/>
  <c r="H16" i="5" s="1"/>
  <c r="G17" i="5"/>
</calcChain>
</file>

<file path=xl/sharedStrings.xml><?xml version="1.0" encoding="utf-8"?>
<sst xmlns="http://schemas.openxmlformats.org/spreadsheetml/2006/main" count="300" uniqueCount="240">
  <si>
    <t xml:space="preserve">Commune </t>
  </si>
  <si>
    <t xml:space="preserve">Département </t>
  </si>
  <si>
    <t>Code-Nom Département</t>
  </si>
  <si>
    <t>TH Taux moyens</t>
  </si>
  <si>
    <t>TH Taux plafonds</t>
  </si>
  <si>
    <t>TFPB Taux moyens</t>
  </si>
  <si>
    <t>TFPB Taux plafonds</t>
  </si>
  <si>
    <t>TFPNB Taux moyens</t>
  </si>
  <si>
    <t>TFPNB Taux plafonds</t>
  </si>
  <si>
    <t>CFE Taux moyens</t>
  </si>
  <si>
    <t>TH (majoration spéciale) Taux moyen</t>
  </si>
  <si>
    <t>TH (majoration spéciale) Fraction 10%</t>
  </si>
  <si>
    <t>01-AIN</t>
  </si>
  <si>
    <t>02-AISNE</t>
  </si>
  <si>
    <t>03-ALLIER</t>
  </si>
  <si>
    <t>04-ALPES-DE HTE PROVENCE</t>
  </si>
  <si>
    <t>05-ALPES (HAUTES-)</t>
  </si>
  <si>
    <t>06-ALPES-MARITIMES</t>
  </si>
  <si>
    <t>07-ARDECHE</t>
  </si>
  <si>
    <t>08-ARDENNES</t>
  </si>
  <si>
    <t>09-ARIEGE</t>
  </si>
  <si>
    <t>10-AUBE</t>
  </si>
  <si>
    <t>11-AUDE</t>
  </si>
  <si>
    <t>12-AVEYRON</t>
  </si>
  <si>
    <t>13-BOUCHES-DU-RHONE</t>
  </si>
  <si>
    <t>14-CALVADOS</t>
  </si>
  <si>
    <t>15-CANTAL</t>
  </si>
  <si>
    <t>16-CHARENTE</t>
  </si>
  <si>
    <t>17-CHARENTE-MARITIME</t>
  </si>
  <si>
    <t>18-CHER</t>
  </si>
  <si>
    <t>19-CORREZE</t>
  </si>
  <si>
    <t>2A-CORSE-DU-SUD</t>
  </si>
  <si>
    <t>2B-HAUTE-CORSE</t>
  </si>
  <si>
    <t>21-COTE-D'OR</t>
  </si>
  <si>
    <t>22-COTES-D'ARMOR</t>
  </si>
  <si>
    <t>23-CREUSE</t>
  </si>
  <si>
    <t>24-DORDOGNE</t>
  </si>
  <si>
    <t>25-DOUBS</t>
  </si>
  <si>
    <t>26-DROME</t>
  </si>
  <si>
    <t>27-EURE</t>
  </si>
  <si>
    <t>28-EURE-ET-LOIR</t>
  </si>
  <si>
    <t>29-FINISTERE</t>
  </si>
  <si>
    <t>30-GARD</t>
  </si>
  <si>
    <t>31-GARONNE (HAUTE-)</t>
  </si>
  <si>
    <t>32-GERS</t>
  </si>
  <si>
    <t>33-GIRONDE</t>
  </si>
  <si>
    <t>34-HERAULT</t>
  </si>
  <si>
    <t>35-ILLE-ET-VILAINE</t>
  </si>
  <si>
    <t>36-INDRE</t>
  </si>
  <si>
    <t>37-INDRE-ET-LOIRE</t>
  </si>
  <si>
    <t>38-ISERE</t>
  </si>
  <si>
    <t>39-JURA</t>
  </si>
  <si>
    <t>40-LANDES</t>
  </si>
  <si>
    <t>41-LOIR-ET-CHER</t>
  </si>
  <si>
    <t>42-LOIRE</t>
  </si>
  <si>
    <t>43-LOIRE (HAUTE-)</t>
  </si>
  <si>
    <t>44-LOIRE-ATLANTIQUE</t>
  </si>
  <si>
    <t>45-LOIRET</t>
  </si>
  <si>
    <t>46-LOT</t>
  </si>
  <si>
    <t>47-LOT-ET-GARONNE</t>
  </si>
  <si>
    <t>48-LOZERE</t>
  </si>
  <si>
    <t>49-MAINE-ET-LOIRE</t>
  </si>
  <si>
    <t>50-MANCHE</t>
  </si>
  <si>
    <t>51-MARNE</t>
  </si>
  <si>
    <t>52-MARNE (HAUTE-)</t>
  </si>
  <si>
    <t>53-MAYENNE</t>
  </si>
  <si>
    <t>54-MEURTHE-ET-MOSELLE</t>
  </si>
  <si>
    <t>55-MEUSE</t>
  </si>
  <si>
    <t>56-MORBIHAN</t>
  </si>
  <si>
    <t>57-MOSELLE</t>
  </si>
  <si>
    <t>58-NIEVRE</t>
  </si>
  <si>
    <t>59-NORD</t>
  </si>
  <si>
    <t>60-OISE</t>
  </si>
  <si>
    <t>61-ORNE</t>
  </si>
  <si>
    <t>62-PAS-DE-CALAIS</t>
  </si>
  <si>
    <t>63-PUY-DE-DOME</t>
  </si>
  <si>
    <t>64-PYRENEES-ATLANTIQUES</t>
  </si>
  <si>
    <t>65-PYRENEES (HAUTES-)</t>
  </si>
  <si>
    <t>66-PYRENEES-ORIENTALES</t>
  </si>
  <si>
    <t>67-BAS-RHIN</t>
  </si>
  <si>
    <t>68-HAUT-RHIN</t>
  </si>
  <si>
    <t>69-RHONE</t>
  </si>
  <si>
    <t>70-SAONE (HAUTE-)</t>
  </si>
  <si>
    <t>71-SAONE-ET-LOIRE</t>
  </si>
  <si>
    <t>72-SARTHE</t>
  </si>
  <si>
    <t>73-SAVOIE</t>
  </si>
  <si>
    <t>74-SAVOIE (HAUTE-)</t>
  </si>
  <si>
    <t>76-SEINE-MARITIME</t>
  </si>
  <si>
    <t>79-DEUX-SEVRES</t>
  </si>
  <si>
    <t>80-SOMME</t>
  </si>
  <si>
    <t>81-TARN</t>
  </si>
  <si>
    <t>82-TARN-ET-GARONNE</t>
  </si>
  <si>
    <t>83-VAR</t>
  </si>
  <si>
    <t>84-VAUCLUSE</t>
  </si>
  <si>
    <t>85-VENDEE</t>
  </si>
  <si>
    <t>86-VIENNE</t>
  </si>
  <si>
    <t>87-VIENNE (HAUTE-)</t>
  </si>
  <si>
    <t>88-VOSGES</t>
  </si>
  <si>
    <t>89-YONNE</t>
  </si>
  <si>
    <t>90-BELFORT (TERRITOIRE DE)</t>
  </si>
  <si>
    <t>75-PARIS</t>
  </si>
  <si>
    <t>77-SEINE-ET-MARNE</t>
  </si>
  <si>
    <t>78-YVELINES</t>
  </si>
  <si>
    <t>91-ESSONNE</t>
  </si>
  <si>
    <t>92-HAUTS-DE-SEINE</t>
  </si>
  <si>
    <t>93-SEINE-SAINT-DENIS</t>
  </si>
  <si>
    <t>94-VAL-DE-MARNE</t>
  </si>
  <si>
    <t>95-VAL-D'OISE</t>
  </si>
  <si>
    <t>971-GUADELOUPE</t>
  </si>
  <si>
    <t>972-MARTINIQUE</t>
  </si>
  <si>
    <t>973-GUYANE</t>
  </si>
  <si>
    <t>974-REUNION</t>
  </si>
  <si>
    <t>976-MAYOTTE</t>
  </si>
  <si>
    <t>TOTAL</t>
  </si>
  <si>
    <t>Taxe</t>
  </si>
  <si>
    <t>Taux Moyens</t>
  </si>
  <si>
    <t>Taux Plafonds</t>
  </si>
  <si>
    <t>Taxe d’habitation (TH)¹</t>
  </si>
  <si>
    <t>Taxe foncière sur les propriétés bâties (TFPB)</t>
  </si>
  <si>
    <t>Taxe foncière sur les propriétés non bâties (TFPNB)</t>
  </si>
  <si>
    <t>Cotisation foncière des entreprises (CFE)</t>
  </si>
  <si>
    <t>Non</t>
  </si>
  <si>
    <t>Taux plafonds</t>
  </si>
  <si>
    <t>Taux moyen THRS</t>
  </si>
  <si>
    <t>Majoration spéciale du taux</t>
  </si>
  <si>
    <t>Oui</t>
  </si>
  <si>
    <t xml:space="preserve">Autre majoration </t>
  </si>
  <si>
    <t>Produit</t>
  </si>
  <si>
    <t>TFB</t>
  </si>
  <si>
    <t>TFNB</t>
  </si>
  <si>
    <t>THRS</t>
  </si>
  <si>
    <t>THLV</t>
  </si>
  <si>
    <t>Aucune règle de lien</t>
  </si>
  <si>
    <t xml:space="preserve">Règle de lien </t>
  </si>
  <si>
    <t>Dérogation à la règle de lien</t>
  </si>
  <si>
    <t>Article 1636 B sexies - Code général des impôts - Légifrance</t>
  </si>
  <si>
    <t>CFE</t>
  </si>
  <si>
    <t>le taux de foncier non bâti ne peut augmenter plus ou diminuer moins que le taux de foncier bâti.</t>
  </si>
  <si>
    <t>le taux de taxe d’habitation ne peut augmenter plus ou diminuer moins que le taux de foncier bâti ou si la variation est plus faible du taux moyen pondéré du foncier bâti et non bâti</t>
  </si>
  <si>
    <t xml:space="preserve">Idem que pour la THRS ? </t>
  </si>
  <si>
    <t>Non concerné</t>
  </si>
  <si>
    <t>Règle de lien (variation différenciée)</t>
  </si>
  <si>
    <t>Référence réglementaire principale</t>
  </si>
  <si>
    <t>Même dérogation que la TFPB (diminution sans lien si taux &gt; moyennes nationales)</t>
  </si>
  <si>
    <t>Ne peut augmenter plus ni diminuer moins que le taux de TFPB</t>
  </si>
  <si>
    <t>Aucune règle de lien avec la TFPB, la TFNB ou la THRS</t>
  </si>
  <si>
    <t>Taux</t>
  </si>
  <si>
    <t xml:space="preserve">Base </t>
  </si>
  <si>
    <t>Taxe sur les logements vacants</t>
  </si>
  <si>
    <t>Estimation de l'inflation règlementaire des bases (IPCH)</t>
  </si>
  <si>
    <t>Proportionnelle</t>
  </si>
  <si>
    <t>Manuelle</t>
  </si>
  <si>
    <t>Majoration de la THRS</t>
  </si>
  <si>
    <t>Montant du coefficient correcteur</t>
  </si>
  <si>
    <t>Total produit</t>
  </si>
  <si>
    <t>Variation du produit</t>
  </si>
  <si>
    <t>Proposé par Elanrural.fr</t>
  </si>
  <si>
    <t>Produit fiscal</t>
  </si>
  <si>
    <t>Taxe d'habitation sur les résidences secondaires (THRS)</t>
  </si>
  <si>
    <t>Base actuelle (2026)</t>
  </si>
  <si>
    <t>Taxe foncière sur le non bâti (TFPNB)</t>
  </si>
  <si>
    <t>Taxe sur la vacance des locaux d'habitation (TVLH)</t>
  </si>
  <si>
    <t>Loi de finances 2026</t>
  </si>
  <si>
    <t>Total</t>
  </si>
  <si>
    <t>Evolution</t>
  </si>
  <si>
    <t>Taux moyens nationaux</t>
  </si>
  <si>
    <t>Base</t>
  </si>
  <si>
    <t xml:space="preserve">Evolution de la part communale </t>
  </si>
  <si>
    <t>Taux 2025</t>
  </si>
  <si>
    <t>Taux 2026</t>
  </si>
  <si>
    <t>Saisir les taux appliqués en 2025</t>
  </si>
  <si>
    <t>&gt;&gt;&gt; Sert à calculer la variation des contribuables entre 2025 et 2026</t>
  </si>
  <si>
    <t>Evolution par rapport à N-1</t>
  </si>
  <si>
    <t>Part autre collectivités ou établissements</t>
  </si>
  <si>
    <t>Total contribution (hors frais gestion DGFIP)</t>
  </si>
  <si>
    <t xml:space="preserve">          =&gt;Cf liste des Communes en zone tendue en annexe du décret  : https://www.legifrance.gouv.fr/loda/id/JORFTEXT000027399823</t>
  </si>
  <si>
    <t>Taux moyens départementaux</t>
  </si>
  <si>
    <t>&gt;&gt;&gt; La saisie proportionnelle est recommandée pour effectuer ces simulations</t>
  </si>
  <si>
    <t>&gt;&gt;&gt; Mais il est possible de saisir les taux annuels de façon manuelle (saisie) pour différencier l'évolution des différentes taxes</t>
  </si>
  <si>
    <t>Option : Evolution proportionnelle du taux</t>
  </si>
  <si>
    <t xml:space="preserve"> =&gt; la TVLH n'est soumise à aucune règle de lien sur les taux</t>
  </si>
  <si>
    <t>Evolution des variations (pour contrôler le respect de la règle de lien</t>
  </si>
  <si>
    <t>Taux moyens pondérés (TFPB+TFPNB)</t>
  </si>
  <si>
    <t>Evolution du taux moyen pondéré</t>
  </si>
  <si>
    <t>Contrôle de conformité du taux de TFPNB (règle de lien)</t>
  </si>
  <si>
    <t>Contrôle de conformité du taux de THRS (règle de lien)</t>
  </si>
  <si>
    <t>Evolution en %</t>
  </si>
  <si>
    <t>Evolution en montant</t>
  </si>
  <si>
    <t>L'augmentation doit être supérieure ou égale à celle  de la hausse du taux THRS, la baisse de ne peut être inférieure ou égale à la baisse du taux THRS</t>
  </si>
  <si>
    <t>Peut diminuer si le taux est supérieur au taux moyen national ET au taux de CFE (de la Commune et de l'EPCI, s'il est supérieur à cette moyenne nationale)</t>
  </si>
  <si>
    <t>Majoration spéciale si inférieur à moyen nationale</t>
  </si>
  <si>
    <t>TFPB (foncier bâti)</t>
  </si>
  <si>
    <t>TFPNB (foncier non bâti)</t>
  </si>
  <si>
    <t>THRS (TH résidences secondaires)</t>
  </si>
  <si>
    <t>Le TFPB est la taxe pivot : son évolution est libre (sous réserve des plafonds), mais elle impacte la variation de la TFNB et la THRS</t>
  </si>
  <si>
    <t>Ne peut augmenter plus que le taux de TFPB, (ou bien que le taux moyen pondéré des deux taxes foncières ,TFNB+TFPNB, si il est plus faible) 
En cas de baisse du taux de TFPB : il doit diminuer au moins dans la même proportion que le taux de TFPB (ou bien que le taux moyen pondéré TFPB+TFPNB)</t>
  </si>
  <si>
    <t>Une diminution sans impact sur les autres taxes est  possible si le taux de l’année de référence est supérieur à la fois : au taux moyen national de la TFPB.</t>
  </si>
  <si>
    <t>Contrôle des plafonds</t>
  </si>
  <si>
    <t>Art. 1636 B sexies du CGI</t>
  </si>
  <si>
    <t>Art. 1636 B sexies du CGI
 1407 ter CGI (majoration
Loi de finances 2026 (art. 116)</t>
  </si>
  <si>
    <t>Coefficient Correcteur</t>
  </si>
  <si>
    <t xml:space="preserve">Choix de la taxe à simuler </t>
  </si>
  <si>
    <t>Adresse (ou intitulé de l'exemple)</t>
  </si>
  <si>
    <t>Type de logement ou terrain (Maison ordinaire, confortable, T3..)</t>
  </si>
  <si>
    <t>&gt;&gt;&gt; Il s'agit des sommes figurant sur l'avis de taxe foncière du contribuable</t>
  </si>
  <si>
    <t>Evolution globale de la taxes sur le contribuable (Communes+autres organismes)</t>
  </si>
  <si>
    <t>Autres Taux levés par d'autres entités</t>
  </si>
  <si>
    <t>Calcul des autres taux (récoltés par d'autres entités sur la même taxe)</t>
  </si>
  <si>
    <t>Total "Autres taux"</t>
  </si>
  <si>
    <t>Estimation de produits nouveaux afférents aux nouvelles constructions ou diminution (variation de bases physiques)</t>
  </si>
  <si>
    <t>&gt;&gt;Pour calculer simplement l'évolution des bases le tableur propose de saisir la contribution estimée de taxe versée par les contribuables des nouvelles constructions (au titre de la part communale). Ainsi, il calculera alors automatiquement la nouvelle base générée.
   Par exemple, si la commune prévoit, en 2028, la construction d’un lotissement comprenant 20 maisons supplémentaires, et que la cotisation moyenne de TF pour des logements comparables s’élève à 1 000 euros, le produit total attendu sera de 20 000 euros (montant à saisir).
Le montant peut aussi être "négatif" en cas de diminution des bases.</t>
  </si>
  <si>
    <t>&gt;&gt; il est recommandé de se baser sur les estimations de l'IPCH réalisées par la banque de France (projections macroéconomiques)</t>
  </si>
  <si>
    <t>Mode d'évolution du taux pour le TFPB, TFNB, THRS</t>
  </si>
  <si>
    <r>
      <rPr>
        <u/>
        <sz val="10"/>
        <color theme="1"/>
        <rFont val="Ebrima"/>
      </rPr>
      <t xml:space="preserve">Saisie du taux de taxe sur la vacance des locaux d'habitation </t>
    </r>
    <r>
      <rPr>
        <sz val="10"/>
        <color theme="1"/>
        <rFont val="Ebrima"/>
      </rPr>
      <t xml:space="preserve">
(TVLH) =&gt;La saisie est </t>
    </r>
    <r>
      <rPr>
        <u/>
        <sz val="10"/>
        <color theme="1"/>
        <rFont val="Ebrima"/>
      </rPr>
      <t>systématiquement "manuelle"</t>
    </r>
  </si>
  <si>
    <t xml:space="preserve">     =&gt; Il est possible d'intégrer des baisses ou hausses de taux de la part des autres entités (EPCI…) pour simuler l'impact global sur le contribuable</t>
  </si>
  <si>
    <t>Majoration spéciale qui permet le relèvement du taux de THRS  sans lien lorsque le taux Communal est inférieur à la moyenne départementale "retraité"</t>
  </si>
  <si>
    <r>
      <rPr>
        <u/>
        <sz val="10"/>
        <color theme="1"/>
        <rFont val="Ebrima"/>
      </rPr>
      <t xml:space="preserve">Par ailleurs </t>
    </r>
    <r>
      <rPr>
        <sz val="10"/>
        <color theme="1"/>
        <rFont val="Ebrima"/>
      </rPr>
      <t>: cette première version n'évoque pas la CFE (il existe encore quelques Communes la percevant). Une seconde version sera diffusée en juillet 2026 pour intégrer la CFE (le cas échant). Il est rappelé qu'aujourd'hui : la grande majorité des Communes ne perçoivent plus la CFE (totalement transférée à l'EPCI).</t>
    </r>
  </si>
  <si>
    <t xml:space="preserve">Le Commune est-elle située en zone tendue (logement) au sens du Décret n° 2013-392 du 10 mai 2013? </t>
  </si>
  <si>
    <t>Ou option : Saisie manuelle des taux</t>
  </si>
  <si>
    <t>Dernier avis de cotisation connu (année)</t>
  </si>
  <si>
    <t xml:space="preserve">&gt;&gt; Il est aussi possible de déterminer les éléments à partir de la Valeur Locative Cadastrale du bien </t>
  </si>
  <si>
    <t>Total évolution 2026/2031</t>
  </si>
  <si>
    <t xml:space="preserve"> =&gt;&gt; Vous pouvez réaliser plusieurs simulations à présenter aux décideurs, élus, ou contribuables (vous pouvez "copier et coller" dans un autre fichier).</t>
  </si>
  <si>
    <t xml:space="preserve"> &gt;&gt; peut être positif ou négatif (-) selon la Commune</t>
  </si>
  <si>
    <t xml:space="preserve">                                                             &gt;&gt;&gt;&gt; les informations sur les bases et les taux sont disponibles sur l'Etat 1259 (prévisionnel transmis en mars 2026) ou l'état 1288 (définitif, transmis en décembre 2026). En l'absence de ces documents, il est possible de faire des estimations sommaires à partir des données en ligne de la DGCL : https://www.impots.gouv.fr/cll/zf1/accueil/flux.ex?_flowId=accueilcclloc-flow</t>
  </si>
  <si>
    <t>Le tableur contient trois onglets. Il est préconisé de laisser le verouillage opérationnel pour éviter les erreurs ou les bugs de calcul</t>
  </si>
  <si>
    <t>Contrôle de la possibilité de recourir à la majoration spéciale de THRS (sans devoir respecter la règle de lien)</t>
  </si>
  <si>
    <t>Evolution 2031-2026</t>
  </si>
  <si>
    <t>&gt;&gt; Il s'agit de l'année la plus récente dont les contributions fiscales ont été arrêtées.</t>
  </si>
  <si>
    <t>Hausse ou baisse de points "Autres taux" (entités)</t>
  </si>
  <si>
    <t>Taux de la part Communale</t>
  </si>
  <si>
    <t>BelleCommune (exemple)</t>
  </si>
  <si>
    <r>
      <t xml:space="preserve">Outil d'aide à la décision </t>
    </r>
    <r>
      <rPr>
        <b/>
        <sz val="12"/>
        <color rgb="FF00B050"/>
        <rFont val="Ebrima"/>
      </rPr>
      <t>"LeBonTaux"</t>
    </r>
    <r>
      <rPr>
        <sz val="12"/>
        <color theme="1"/>
        <rFont val="Ebrima"/>
      </rPr>
      <t xml:space="preserve"> - Evolution de la fiscalité directe Communale</t>
    </r>
  </si>
  <si>
    <r>
      <rPr>
        <u/>
        <sz val="10"/>
        <color theme="1"/>
        <rFont val="Ebrima"/>
      </rPr>
      <t xml:space="preserve">Important : </t>
    </r>
    <r>
      <rPr>
        <sz val="10"/>
        <color theme="1"/>
        <rFont val="Ebrima"/>
      </rPr>
      <t>cet outil permet une première analyse et de faire des choix plus éclairés. Il n'a pas vocation à intégrer toutes règles (complexes) de la fiscalité locale et il ne peut intégrer la totalité des cas de figure (fusion de communes par exemple). Ainsi après établissement d'un scénario d'évolution des taux, nous vous recommandons ensuite de le soumettre à votre Conseiller aux Décideurs Locaux (CDL/DGFIP) pour sécuriser la délibération.</t>
    </r>
  </si>
  <si>
    <t>Montant du coefficient correcteur (2026)</t>
  </si>
  <si>
    <t>Montant part communale</t>
  </si>
  <si>
    <t>Majoration 2025 (THRS ou TVLH)</t>
  </si>
  <si>
    <t>% de majoration (THRS ou TVLH)</t>
  </si>
  <si>
    <t>Mason 95 m² ordinaire</t>
  </si>
  <si>
    <t>Exemple Maison ordinaire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</si>
</sst>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19"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color theme="1"/>
      <name val="Ebrima"/>
    </font>
    <font>
      <sz val="10"/>
      <color rgb="FF3A3A3A"/>
      <name val="Ebrima"/>
    </font>
    <font>
      <u/>
      <sz val="10"/>
      <color theme="10"/>
      <name val="Ebrima"/>
    </font>
    <font>
      <b/>
      <sz val="10"/>
      <color theme="1"/>
      <name val="Ebrima"/>
    </font>
    <font>
      <u/>
      <sz val="10"/>
      <color theme="1"/>
      <name val="Ebrima"/>
    </font>
    <font>
      <sz val="9"/>
      <color theme="1"/>
      <name val="Ebrima"/>
    </font>
    <font>
      <sz val="11"/>
      <color theme="1"/>
      <name val="Aptos Narrow"/>
      <family val="2"/>
      <scheme val="minor"/>
    </font>
    <font>
      <b/>
      <sz val="11"/>
      <color theme="1"/>
      <name val="Ebrima"/>
    </font>
    <font>
      <b/>
      <u/>
      <sz val="10"/>
      <color theme="1"/>
      <name val="Ebrima"/>
    </font>
    <font>
      <sz val="11"/>
      <color theme="1"/>
      <name val="Ebrima"/>
    </font>
    <font>
      <b/>
      <sz val="14"/>
      <color theme="1"/>
      <name val="Ebrima"/>
    </font>
    <font>
      <i/>
      <sz val="10"/>
      <color theme="1"/>
      <name val="Ebrima"/>
    </font>
    <font>
      <sz val="12"/>
      <color theme="1"/>
      <name val="Ebrima"/>
    </font>
    <font>
      <b/>
      <sz val="12"/>
      <color rgb="FF00B050"/>
      <name val="Ebrima"/>
    </font>
    <font>
      <u/>
      <sz val="11"/>
      <color theme="1"/>
      <name val="Ebrima"/>
    </font>
    <font>
      <sz val="9.5"/>
      <color theme="1"/>
      <name val="Ebrima"/>
    </font>
  </fonts>
  <fills count="12">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2"/>
        <bgColor indexed="64"/>
      </patternFill>
    </fill>
    <fill>
      <patternFill patternType="solid">
        <fgColor rgb="FFF1F1E7"/>
        <bgColor indexed="64"/>
      </patternFill>
    </fill>
    <fill>
      <patternFill patternType="solid">
        <fgColor rgb="FFEEEEEE"/>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xf numFmtId="9" fontId="9" fillId="0" borderId="0" applyFont="0" applyFill="0" applyBorder="0" applyAlignment="0" applyProtection="0"/>
  </cellStyleXfs>
  <cellXfs count="190">
    <xf numFmtId="0" fontId="0" fillId="0" borderId="0" xfId="0"/>
    <xf numFmtId="0" fontId="1" fillId="0" borderId="1" xfId="0" applyFont="1" applyBorder="1" applyAlignment="1">
      <alignment horizontal="center" vertical="center" wrapText="1"/>
    </xf>
    <xf numFmtId="0" fontId="0" fillId="0" borderId="1" xfId="0" applyBorder="1" applyAlignment="1">
      <alignment vertical="center" wrapText="1"/>
    </xf>
    <xf numFmtId="0" fontId="1" fillId="0" borderId="1" xfId="0" applyFont="1" applyBorder="1" applyAlignment="1">
      <alignment vertical="center" wrapText="1"/>
    </xf>
    <xf numFmtId="2" fontId="0" fillId="0" borderId="1" xfId="0" applyNumberFormat="1" applyBorder="1" applyAlignment="1">
      <alignment vertical="center" wrapText="1"/>
    </xf>
    <xf numFmtId="0" fontId="3" fillId="2" borderId="0" xfId="0" applyFont="1" applyFill="1"/>
    <xf numFmtId="2" fontId="3" fillId="2" borderId="0" xfId="0" applyNumberFormat="1" applyFont="1" applyFill="1"/>
    <xf numFmtId="0" fontId="3" fillId="2" borderId="1" xfId="0" applyFont="1" applyFill="1" applyBorder="1"/>
    <xf numFmtId="0" fontId="4" fillId="2" borderId="0" xfId="0" applyFont="1" applyFill="1"/>
    <xf numFmtId="0" fontId="5" fillId="2" borderId="0" xfId="1" applyFont="1" applyFill="1"/>
    <xf numFmtId="0" fontId="3" fillId="2" borderId="2" xfId="0" applyFont="1" applyFill="1" applyBorder="1"/>
    <xf numFmtId="0" fontId="3" fillId="4" borderId="1" xfId="0" applyFont="1" applyFill="1" applyBorder="1" applyAlignment="1">
      <alignment horizontal="right"/>
    </xf>
    <xf numFmtId="0" fontId="3" fillId="4" borderId="3" xfId="0" applyFont="1" applyFill="1" applyBorder="1" applyAlignment="1">
      <alignment horizontal="right"/>
    </xf>
    <xf numFmtId="0" fontId="7" fillId="4" borderId="1" xfId="0" applyFont="1" applyFill="1" applyBorder="1" applyAlignment="1">
      <alignment horizontal="center"/>
    </xf>
    <xf numFmtId="0" fontId="3" fillId="4" borderId="1" xfId="0" applyFont="1" applyFill="1" applyBorder="1"/>
    <xf numFmtId="0" fontId="7" fillId="4" borderId="1" xfId="0" applyFont="1" applyFill="1" applyBorder="1" applyAlignment="1">
      <alignment horizontal="center" vertical="center" wrapText="1"/>
    </xf>
    <xf numFmtId="164" fontId="3" fillId="5" borderId="1" xfId="0" applyNumberFormat="1" applyFont="1" applyFill="1" applyBorder="1"/>
    <xf numFmtId="3" fontId="3" fillId="2" borderId="0" xfId="0" applyNumberFormat="1" applyFont="1" applyFill="1"/>
    <xf numFmtId="0" fontId="3" fillId="4" borderId="1" xfId="0" applyFont="1" applyFill="1" applyBorder="1" applyAlignment="1">
      <alignment horizontal="right" wrapText="1"/>
    </xf>
    <xf numFmtId="0" fontId="3" fillId="4" borderId="1" xfId="0" applyFont="1" applyFill="1" applyBorder="1" applyAlignment="1">
      <alignment horizontal="right"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2" borderId="0" xfId="0" applyFont="1" applyFill="1" applyAlignment="1">
      <alignment wrapText="1"/>
    </xf>
    <xf numFmtId="3" fontId="3" fillId="6" borderId="11" xfId="0" applyNumberFormat="1" applyFont="1" applyFill="1" applyBorder="1"/>
    <xf numFmtId="0" fontId="7"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1" fontId="3" fillId="7" borderId="1" xfId="0" applyNumberFormat="1" applyFont="1" applyFill="1" applyBorder="1" applyAlignment="1">
      <alignment wrapText="1"/>
    </xf>
    <xf numFmtId="0" fontId="6" fillId="4" borderId="1" xfId="0" applyFont="1" applyFill="1" applyBorder="1" applyAlignment="1">
      <alignment horizontal="center"/>
    </xf>
    <xf numFmtId="0" fontId="3" fillId="9" borderId="1" xfId="0" applyFont="1" applyFill="1" applyBorder="1"/>
    <xf numFmtId="165" fontId="3" fillId="9" borderId="1" xfId="0" applyNumberFormat="1" applyFont="1" applyFill="1" applyBorder="1"/>
    <xf numFmtId="0" fontId="8" fillId="2" borderId="0" xfId="0" applyFont="1" applyFill="1" applyAlignment="1">
      <alignment wrapText="1"/>
    </xf>
    <xf numFmtId="0" fontId="8" fillId="2" borderId="0" xfId="0" applyFont="1" applyFill="1"/>
    <xf numFmtId="0" fontId="3" fillId="3" borderId="1" xfId="0" applyFont="1" applyFill="1" applyBorder="1" applyProtection="1">
      <protection locked="0"/>
    </xf>
    <xf numFmtId="3" fontId="3" fillId="3" borderId="1" xfId="0" applyNumberFormat="1" applyFont="1" applyFill="1" applyBorder="1" applyProtection="1">
      <protection locked="0"/>
    </xf>
    <xf numFmtId="2" fontId="3" fillId="3" borderId="1" xfId="0" applyNumberFormat="1" applyFont="1" applyFill="1" applyBorder="1" applyProtection="1">
      <protection locked="0"/>
    </xf>
    <xf numFmtId="164" fontId="3" fillId="0" borderId="1" xfId="0" applyNumberFormat="1" applyFont="1" applyBorder="1" applyProtection="1">
      <protection locked="0"/>
    </xf>
    <xf numFmtId="0" fontId="13" fillId="2" borderId="0" xfId="0" applyFont="1" applyFill="1"/>
    <xf numFmtId="0" fontId="7" fillId="4" borderId="1" xfId="0" applyFont="1" applyFill="1" applyBorder="1" applyAlignment="1">
      <alignment horizontal="center" vertical="center" wrapText="1"/>
    </xf>
    <xf numFmtId="0" fontId="8" fillId="10" borderId="1" xfId="0" applyFont="1" applyFill="1" applyBorder="1" applyAlignment="1">
      <alignment horizontal="justify" vertical="center" wrapText="1"/>
    </xf>
    <xf numFmtId="10" fontId="3" fillId="3" borderId="1" xfId="0" applyNumberFormat="1" applyFont="1" applyFill="1" applyBorder="1" applyAlignment="1" applyProtection="1">
      <alignment horizontal="right"/>
      <protection locked="0"/>
    </xf>
    <xf numFmtId="10" fontId="3" fillId="3" borderId="1" xfId="0" applyNumberFormat="1" applyFont="1" applyFill="1" applyBorder="1" applyProtection="1">
      <protection locked="0"/>
    </xf>
    <xf numFmtId="2" fontId="3" fillId="9" borderId="1" xfId="0" applyNumberFormat="1" applyFont="1" applyFill="1" applyBorder="1"/>
    <xf numFmtId="0" fontId="3" fillId="9" borderId="1" xfId="0" applyFont="1" applyFill="1" applyBorder="1" applyAlignment="1">
      <alignment wrapText="1"/>
    </xf>
    <xf numFmtId="0" fontId="3" fillId="9" borderId="1" xfId="0" applyFont="1" applyFill="1" applyBorder="1" applyAlignment="1">
      <alignment horizontal="center"/>
    </xf>
    <xf numFmtId="3" fontId="3" fillId="9" borderId="1" xfId="0" applyNumberFormat="1" applyFont="1" applyFill="1" applyBorder="1"/>
    <xf numFmtId="3" fontId="7" fillId="9" borderId="1" xfId="0" applyNumberFormat="1" applyFont="1" applyFill="1" applyBorder="1"/>
    <xf numFmtId="3" fontId="7" fillId="9" borderId="1" xfId="0" applyNumberFormat="1" applyFont="1" applyFill="1" applyBorder="1" applyAlignment="1">
      <alignment horizontal="right"/>
    </xf>
    <xf numFmtId="3" fontId="11" fillId="9" borderId="1" xfId="0" applyNumberFormat="1" applyFont="1" applyFill="1" applyBorder="1"/>
    <xf numFmtId="0" fontId="3" fillId="4" borderId="1" xfId="0" applyFont="1" applyFill="1" applyBorder="1" applyAlignment="1">
      <alignment horizontal="right"/>
    </xf>
    <xf numFmtId="0" fontId="14" fillId="2" borderId="0" xfId="0" applyFont="1" applyFill="1"/>
    <xf numFmtId="3" fontId="14" fillId="2" borderId="0" xfId="0" applyNumberFormat="1" applyFont="1" applyFill="1"/>
    <xf numFmtId="3" fontId="7" fillId="6" borderId="11" xfId="0" applyNumberFormat="1" applyFont="1" applyFill="1" applyBorder="1"/>
    <xf numFmtId="3" fontId="7" fillId="6" borderId="2" xfId="0" applyNumberFormat="1" applyFont="1" applyFill="1" applyBorder="1"/>
    <xf numFmtId="0" fontId="6" fillId="4" borderId="23" xfId="0" applyFont="1" applyFill="1" applyBorder="1" applyAlignment="1">
      <alignment horizontal="center" wrapText="1"/>
    </xf>
    <xf numFmtId="3" fontId="7" fillId="6" borderId="16" xfId="0" applyNumberFormat="1" applyFont="1" applyFill="1" applyBorder="1"/>
    <xf numFmtId="0" fontId="3" fillId="6" borderId="11" xfId="0" applyFont="1" applyFill="1" applyBorder="1" applyAlignment="1">
      <alignment horizontal="right"/>
    </xf>
    <xf numFmtId="0" fontId="3" fillId="6" borderId="15" xfId="0" applyFont="1" applyFill="1" applyBorder="1" applyAlignment="1">
      <alignment horizontal="right"/>
    </xf>
    <xf numFmtId="0" fontId="3" fillId="6" borderId="15" xfId="0" applyFont="1" applyFill="1" applyBorder="1" applyAlignment="1">
      <alignment horizontal="right" wrapText="1"/>
    </xf>
    <xf numFmtId="0" fontId="7" fillId="6" borderId="15" xfId="0" applyFont="1" applyFill="1" applyBorder="1" applyAlignment="1">
      <alignment horizontal="right"/>
    </xf>
    <xf numFmtId="0" fontId="7" fillId="6" borderId="19" xfId="0" applyFont="1" applyFill="1" applyBorder="1" applyAlignment="1">
      <alignment horizontal="right"/>
    </xf>
    <xf numFmtId="0" fontId="6" fillId="4" borderId="21" xfId="0" applyFont="1" applyFill="1" applyBorder="1" applyAlignment="1">
      <alignment horizontal="center" wrapText="1"/>
    </xf>
    <xf numFmtId="0" fontId="6" fillId="4" borderId="22" xfId="0" applyFont="1" applyFill="1" applyBorder="1" applyAlignment="1">
      <alignment horizontal="center"/>
    </xf>
    <xf numFmtId="2" fontId="3" fillId="10" borderId="1" xfId="0" applyNumberFormat="1" applyFont="1" applyFill="1" applyBorder="1"/>
    <xf numFmtId="2" fontId="3" fillId="10" borderId="1" xfId="0" applyNumberFormat="1" applyFont="1" applyFill="1" applyBorder="1" applyAlignment="1">
      <alignment wrapText="1"/>
    </xf>
    <xf numFmtId="164" fontId="3" fillId="10" borderId="1" xfId="0" applyNumberFormat="1" applyFont="1" applyFill="1" applyBorder="1" applyProtection="1"/>
    <xf numFmtId="0" fontId="6" fillId="4" borderId="1" xfId="0" applyFont="1" applyFill="1" applyBorder="1" applyAlignment="1">
      <alignment horizontal="center" wrapText="1"/>
    </xf>
    <xf numFmtId="0" fontId="7" fillId="4" borderId="1" xfId="0" applyFont="1" applyFill="1" applyBorder="1" applyAlignment="1">
      <alignment horizontal="center" vertical="center"/>
    </xf>
    <xf numFmtId="0" fontId="3" fillId="0" borderId="1" xfId="0" applyFont="1" applyBorder="1" applyProtection="1">
      <protection locked="0"/>
    </xf>
    <xf numFmtId="3" fontId="3" fillId="10" borderId="1" xfId="0" applyNumberFormat="1" applyFont="1" applyFill="1" applyBorder="1"/>
    <xf numFmtId="1" fontId="3" fillId="10" borderId="1" xfId="0" applyNumberFormat="1" applyFont="1" applyFill="1" applyBorder="1"/>
    <xf numFmtId="1" fontId="3" fillId="10" borderId="1" xfId="0" applyNumberFormat="1" applyFont="1" applyFill="1" applyBorder="1" applyAlignment="1">
      <alignment wrapText="1"/>
    </xf>
    <xf numFmtId="0" fontId="3" fillId="2" borderId="0" xfId="0" applyFont="1" applyFill="1" applyAlignment="1">
      <alignment vertical="center" wrapText="1"/>
    </xf>
    <xf numFmtId="0" fontId="15" fillId="2" borderId="0" xfId="0" applyFont="1" applyFill="1"/>
    <xf numFmtId="164" fontId="3" fillId="3" borderId="1" xfId="0" applyNumberFormat="1" applyFont="1" applyFill="1" applyBorder="1" applyProtection="1">
      <protection locked="0"/>
    </xf>
    <xf numFmtId="0" fontId="3" fillId="2" borderId="6" xfId="0" applyFont="1" applyFill="1" applyBorder="1" applyAlignment="1"/>
    <xf numFmtId="0" fontId="3" fillId="2" borderId="6" xfId="0" applyFont="1" applyFill="1" applyBorder="1" applyAlignment="1">
      <alignment vertical="top"/>
    </xf>
    <xf numFmtId="0" fontId="6" fillId="3" borderId="1" xfId="0" applyFont="1" applyFill="1" applyBorder="1" applyProtection="1">
      <protection locked="0"/>
    </xf>
    <xf numFmtId="3" fontId="7" fillId="10" borderId="1" xfId="0" applyNumberFormat="1" applyFont="1" applyFill="1" applyBorder="1"/>
    <xf numFmtId="164" fontId="3" fillId="10" borderId="1" xfId="2" applyNumberFormat="1" applyFont="1" applyFill="1" applyBorder="1" applyAlignment="1">
      <alignment wrapText="1"/>
    </xf>
    <xf numFmtId="3" fontId="6" fillId="10" borderId="1" xfId="0" applyNumberFormat="1" applyFont="1" applyFill="1" applyBorder="1" applyAlignment="1">
      <alignment vertical="center"/>
    </xf>
    <xf numFmtId="0" fontId="8" fillId="4" borderId="1" xfId="0" applyFont="1" applyFill="1" applyBorder="1" applyAlignment="1">
      <alignment horizontal="right" vertical="top" wrapText="1"/>
    </xf>
    <xf numFmtId="0" fontId="7" fillId="4" borderId="1" xfId="0" applyFont="1" applyFill="1" applyBorder="1"/>
    <xf numFmtId="0" fontId="7" fillId="4" borderId="1" xfId="0" applyFont="1" applyFill="1" applyBorder="1" applyAlignment="1">
      <alignment horizontal="right"/>
    </xf>
    <xf numFmtId="0" fontId="14" fillId="6" borderId="12" xfId="0" applyFont="1" applyFill="1" applyBorder="1" applyAlignment="1">
      <alignment horizontal="right"/>
    </xf>
    <xf numFmtId="0" fontId="14" fillId="6" borderId="17" xfId="0" applyFont="1" applyFill="1" applyBorder="1" applyAlignment="1">
      <alignment horizontal="right"/>
    </xf>
    <xf numFmtId="0" fontId="8" fillId="2" borderId="0" xfId="0" applyFont="1" applyFill="1" applyAlignment="1">
      <alignment vertical="top"/>
    </xf>
    <xf numFmtId="0" fontId="14" fillId="2" borderId="0" xfId="0" applyFont="1" applyFill="1" applyAlignment="1">
      <alignment vertical="top"/>
    </xf>
    <xf numFmtId="0" fontId="6" fillId="4" borderId="1" xfId="0" applyFont="1" applyFill="1" applyBorder="1" applyAlignment="1">
      <alignment horizontal="right"/>
    </xf>
    <xf numFmtId="3" fontId="3" fillId="7" borderId="1" xfId="0" applyNumberFormat="1" applyFont="1" applyFill="1" applyBorder="1"/>
    <xf numFmtId="3" fontId="6" fillId="7" borderId="7" xfId="0" applyNumberFormat="1" applyFont="1" applyFill="1" applyBorder="1" applyAlignment="1">
      <alignment vertical="center"/>
    </xf>
    <xf numFmtId="0" fontId="3" fillId="2" borderId="0" xfId="0" applyFont="1" applyFill="1" applyAlignment="1">
      <alignment vertical="center"/>
    </xf>
    <xf numFmtId="164" fontId="14" fillId="6" borderId="12" xfId="0" applyNumberFormat="1" applyFont="1" applyFill="1" applyBorder="1"/>
    <xf numFmtId="164" fontId="14" fillId="6" borderId="12" xfId="2" applyNumberFormat="1" applyFont="1" applyFill="1" applyBorder="1"/>
    <xf numFmtId="0" fontId="17" fillId="4" borderId="1" xfId="0" applyFont="1" applyFill="1" applyBorder="1" applyAlignment="1">
      <alignment horizontal="center"/>
    </xf>
    <xf numFmtId="0" fontId="12" fillId="4" borderId="1" xfId="0" applyFont="1" applyFill="1" applyBorder="1" applyAlignment="1">
      <alignment horizontal="right"/>
    </xf>
    <xf numFmtId="3" fontId="12" fillId="3" borderId="1" xfId="0" applyNumberFormat="1" applyFont="1" applyFill="1" applyBorder="1" applyProtection="1">
      <protection locked="0"/>
    </xf>
    <xf numFmtId="0" fontId="7" fillId="4" borderId="9"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vertical="center" wrapText="1"/>
    </xf>
    <xf numFmtId="3" fontId="3" fillId="3" borderId="7" xfId="0" applyNumberFormat="1" applyFont="1" applyFill="1" applyBorder="1" applyProtection="1">
      <protection locked="0"/>
    </xf>
    <xf numFmtId="0" fontId="3" fillId="10" borderId="1" xfId="0" applyFont="1" applyFill="1" applyBorder="1" applyAlignment="1">
      <alignment horizontal="right" wrapText="1"/>
    </xf>
    <xf numFmtId="0" fontId="3" fillId="10" borderId="1" xfId="0" applyFont="1" applyFill="1" applyBorder="1" applyAlignment="1">
      <alignment horizontal="right"/>
    </xf>
    <xf numFmtId="0" fontId="7" fillId="10" borderId="1" xfId="0" applyFont="1" applyFill="1" applyBorder="1" applyAlignment="1">
      <alignment horizontal="right"/>
    </xf>
    <xf numFmtId="0" fontId="3" fillId="3" borderId="1" xfId="0" applyFont="1" applyFill="1" applyBorder="1" applyAlignment="1">
      <alignment horizontal="right"/>
    </xf>
    <xf numFmtId="44" fontId="3" fillId="11" borderId="1" xfId="0" applyNumberFormat="1" applyFont="1" applyFill="1" applyBorder="1" applyAlignment="1">
      <alignment horizontal="right"/>
    </xf>
    <xf numFmtId="0" fontId="3" fillId="11" borderId="1" xfId="0" applyFont="1" applyFill="1" applyBorder="1"/>
    <xf numFmtId="0" fontId="3" fillId="11" borderId="1" xfId="0" applyFont="1" applyFill="1" applyBorder="1" applyAlignment="1">
      <alignment horizontal="right"/>
    </xf>
    <xf numFmtId="2" fontId="3" fillId="5" borderId="1" xfId="0" applyNumberFormat="1" applyFont="1" applyFill="1" applyBorder="1" applyAlignment="1"/>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8" fillId="10" borderId="4" xfId="0" applyFont="1" applyFill="1" applyBorder="1" applyAlignment="1">
      <alignment horizontal="left" wrapText="1"/>
    </xf>
    <xf numFmtId="0" fontId="8" fillId="10" borderId="6" xfId="0" applyFont="1" applyFill="1" applyBorder="1" applyAlignment="1">
      <alignment horizontal="left" wrapText="1"/>
    </xf>
    <xf numFmtId="0" fontId="8" fillId="10" borderId="5" xfId="0" applyFont="1" applyFill="1" applyBorder="1" applyAlignment="1">
      <alignment horizontal="left" wrapText="1"/>
    </xf>
    <xf numFmtId="0" fontId="7" fillId="4" borderId="1" xfId="0" applyFont="1" applyFill="1" applyBorder="1" applyAlignment="1">
      <alignment horizontal="center"/>
    </xf>
    <xf numFmtId="0" fontId="11" fillId="4" borderId="1" xfId="0" applyFont="1" applyFill="1" applyBorder="1" applyAlignment="1">
      <alignment horizontal="right"/>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3" fillId="9" borderId="1" xfId="0" applyFont="1" applyFill="1" applyBorder="1" applyAlignment="1">
      <alignment horizontal="right"/>
    </xf>
    <xf numFmtId="0" fontId="11" fillId="2" borderId="13" xfId="0" applyFont="1" applyFill="1" applyBorder="1" applyAlignment="1">
      <alignment horizontal="left"/>
    </xf>
    <xf numFmtId="0" fontId="17" fillId="4" borderId="1" xfId="0" applyFont="1" applyFill="1" applyBorder="1" applyAlignment="1">
      <alignment horizontal="right" vertical="center"/>
    </xf>
    <xf numFmtId="0" fontId="17" fillId="4" borderId="1" xfId="0" applyFont="1" applyFill="1" applyBorder="1" applyAlignment="1">
      <alignment horizontal="right" vertical="center" wrapText="1"/>
    </xf>
    <xf numFmtId="0" fontId="8" fillId="6" borderId="1" xfId="0" applyFont="1" applyFill="1" applyBorder="1" applyAlignment="1">
      <alignment horizontal="center" vertical="top" wrapText="1"/>
    </xf>
    <xf numFmtId="0" fontId="7" fillId="4" borderId="7" xfId="0" applyFont="1" applyFill="1" applyBorder="1" applyAlignment="1">
      <alignment horizontal="center" vertical="center" wrapText="1"/>
    </xf>
    <xf numFmtId="0" fontId="7" fillId="4" borderId="1" xfId="0" applyFont="1" applyFill="1" applyBorder="1" applyAlignment="1">
      <alignment horizontal="right"/>
    </xf>
    <xf numFmtId="0" fontId="3" fillId="4" borderId="1" xfId="0" applyFont="1" applyFill="1" applyBorder="1" applyAlignment="1">
      <alignment horizontal="right" vertical="top" wrapText="1"/>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3" fillId="4" borderId="4" xfId="0" applyFont="1" applyFill="1" applyBorder="1" applyAlignment="1">
      <alignment horizontal="right"/>
    </xf>
    <xf numFmtId="0" fontId="3" fillId="4" borderId="5" xfId="0" applyFont="1" applyFill="1" applyBorder="1" applyAlignment="1">
      <alignment horizontal="right"/>
    </xf>
    <xf numFmtId="0" fontId="17" fillId="4" borderId="3"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7" xfId="0" applyFont="1" applyFill="1" applyBorder="1" applyAlignment="1">
      <alignment horizontal="center" vertical="center"/>
    </xf>
    <xf numFmtId="0" fontId="3" fillId="2" borderId="0" xfId="0" applyFont="1" applyFill="1" applyAlignment="1">
      <alignment horizontal="justify" vertical="top" wrapText="1"/>
    </xf>
    <xf numFmtId="0" fontId="7" fillId="4" borderId="1" xfId="0" applyFont="1" applyFill="1" applyBorder="1" applyAlignment="1">
      <alignment horizontal="center" vertical="center" wrapText="1"/>
    </xf>
    <xf numFmtId="4" fontId="3" fillId="5" borderId="3" xfId="0" applyNumberFormat="1" applyFont="1" applyFill="1" applyBorder="1" applyAlignment="1">
      <alignment horizontal="center"/>
    </xf>
    <xf numFmtId="4" fontId="3" fillId="5" borderId="2" xfId="0" applyNumberFormat="1" applyFont="1" applyFill="1" applyBorder="1" applyAlignment="1">
      <alignment horizontal="center"/>
    </xf>
    <xf numFmtId="4" fontId="3" fillId="5" borderId="7" xfId="0" applyNumberFormat="1" applyFont="1" applyFill="1" applyBorder="1" applyAlignment="1">
      <alignment horizontal="center"/>
    </xf>
    <xf numFmtId="0" fontId="8" fillId="6" borderId="1" xfId="0" applyFont="1" applyFill="1" applyBorder="1" applyAlignment="1">
      <alignment horizontal="justify" vertical="top" wrapText="1"/>
    </xf>
    <xf numFmtId="0" fontId="10" fillId="8" borderId="1" xfId="0" applyNumberFormat="1" applyFont="1" applyFill="1" applyBorder="1" applyAlignment="1">
      <alignment horizontal="center"/>
    </xf>
    <xf numFmtId="0" fontId="17" fillId="4" borderId="1" xfId="0" applyFont="1" applyFill="1" applyBorder="1" applyAlignment="1">
      <alignment horizontal="center" wrapText="1"/>
    </xf>
    <xf numFmtId="0" fontId="3" fillId="3" borderId="3" xfId="0" applyFont="1" applyFill="1" applyBorder="1" applyAlignment="1" applyProtection="1">
      <alignment horizontal="right"/>
      <protection locked="0"/>
    </xf>
    <xf numFmtId="0" fontId="3" fillId="3" borderId="1" xfId="0" applyFont="1" applyFill="1" applyBorder="1" applyAlignment="1" applyProtection="1">
      <alignment horizontal="right"/>
      <protection locked="0"/>
    </xf>
    <xf numFmtId="0" fontId="3" fillId="4" borderId="1" xfId="0" applyFont="1" applyFill="1" applyBorder="1" applyAlignment="1">
      <alignment horizontal="left" vertical="center" wrapText="1"/>
    </xf>
    <xf numFmtId="0" fontId="7" fillId="4" borderId="4" xfId="0" applyFont="1" applyFill="1" applyBorder="1" applyAlignment="1">
      <alignment horizontal="center"/>
    </xf>
    <xf numFmtId="0" fontId="7" fillId="4" borderId="5" xfId="0" applyFont="1" applyFill="1" applyBorder="1" applyAlignment="1">
      <alignment horizontal="center"/>
    </xf>
    <xf numFmtId="0" fontId="3" fillId="9" borderId="4" xfId="0" applyFont="1" applyFill="1" applyBorder="1" applyAlignment="1">
      <alignment horizontal="center"/>
    </xf>
    <xf numFmtId="0" fontId="3" fillId="9" borderId="5" xfId="0" applyFont="1" applyFill="1" applyBorder="1" applyAlignment="1">
      <alignment horizontal="center"/>
    </xf>
    <xf numFmtId="0" fontId="3" fillId="9" borderId="4" xfId="0" applyFont="1" applyFill="1" applyBorder="1" applyAlignment="1">
      <alignment horizontal="center" wrapText="1"/>
    </xf>
    <xf numFmtId="0" fontId="3" fillId="9" borderId="5" xfId="0" applyFont="1" applyFill="1" applyBorder="1" applyAlignment="1">
      <alignment horizontal="center" wrapText="1"/>
    </xf>
    <xf numFmtId="2" fontId="3" fillId="9" borderId="4" xfId="0" applyNumberFormat="1" applyFont="1" applyFill="1" applyBorder="1" applyAlignment="1">
      <alignment horizontal="left" vertical="center" wrapText="1"/>
    </xf>
    <xf numFmtId="2" fontId="3" fillId="9" borderId="6" xfId="0" applyNumberFormat="1" applyFont="1" applyFill="1" applyBorder="1" applyAlignment="1">
      <alignment horizontal="left" vertical="center" wrapText="1"/>
    </xf>
    <xf numFmtId="2" fontId="3" fillId="9" borderId="5" xfId="0" applyNumberFormat="1" applyFont="1" applyFill="1" applyBorder="1" applyAlignment="1">
      <alignment horizontal="left" vertical="center" wrapText="1"/>
    </xf>
    <xf numFmtId="0" fontId="3" fillId="2" borderId="1" xfId="0" applyFont="1" applyFill="1" applyBorder="1" applyAlignment="1">
      <alignment horizontal="center"/>
    </xf>
    <xf numFmtId="0" fontId="10" fillId="8" borderId="1" xfId="0" applyFont="1" applyFill="1" applyBorder="1" applyAlignment="1">
      <alignment horizontal="center"/>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18" fillId="11" borderId="4" xfId="0" applyFont="1" applyFill="1" applyBorder="1" applyAlignment="1">
      <alignment horizontal="center" wrapText="1"/>
    </xf>
    <xf numFmtId="0" fontId="18" fillId="11" borderId="6" xfId="0" applyFont="1" applyFill="1" applyBorder="1" applyAlignment="1">
      <alignment horizontal="center" wrapText="1"/>
    </xf>
    <xf numFmtId="0" fontId="18" fillId="11" borderId="5" xfId="0" applyFont="1" applyFill="1" applyBorder="1" applyAlignment="1">
      <alignment horizontal="center" wrapText="1"/>
    </xf>
    <xf numFmtId="0" fontId="3" fillId="2" borderId="0" xfId="0" applyFont="1" applyFill="1" applyAlignment="1">
      <alignment horizontal="justify" vertical="center" wrapText="1"/>
    </xf>
    <xf numFmtId="0" fontId="3" fillId="2" borderId="14" xfId="0" applyFont="1" applyFill="1" applyBorder="1" applyAlignment="1">
      <alignment horizontal="left" wrapText="1"/>
    </xf>
    <xf numFmtId="0" fontId="7" fillId="4" borderId="8" xfId="0" applyFont="1" applyFill="1" applyBorder="1" applyAlignment="1">
      <alignment horizontal="center"/>
    </xf>
    <xf numFmtId="0" fontId="7" fillId="4" borderId="24" xfId="0" applyFont="1" applyFill="1" applyBorder="1" applyAlignment="1">
      <alignment horizontal="center"/>
    </xf>
    <xf numFmtId="0" fontId="7" fillId="4" borderId="10" xfId="0" applyFont="1" applyFill="1" applyBorder="1" applyAlignment="1">
      <alignment horizontal="center"/>
    </xf>
    <xf numFmtId="0" fontId="7" fillId="4" borderId="25" xfId="0" applyFont="1" applyFill="1" applyBorder="1" applyAlignment="1">
      <alignment horizontal="center"/>
    </xf>
    <xf numFmtId="0" fontId="3" fillId="4" borderId="10" xfId="0" applyFont="1" applyFill="1" applyBorder="1" applyAlignment="1">
      <alignment horizontal="center"/>
    </xf>
    <xf numFmtId="0" fontId="3" fillId="4" borderId="25" xfId="0" applyFont="1" applyFill="1" applyBorder="1" applyAlignment="1">
      <alignment horizontal="center"/>
    </xf>
    <xf numFmtId="0" fontId="7" fillId="4" borderId="1" xfId="0" applyFont="1" applyFill="1" applyBorder="1" applyAlignment="1">
      <alignment horizontal="center" wrapText="1"/>
    </xf>
    <xf numFmtId="0" fontId="3" fillId="2" borderId="14" xfId="0" applyFont="1" applyFill="1" applyBorder="1" applyAlignment="1">
      <alignment horizontal="center"/>
    </xf>
    <xf numFmtId="0" fontId="7" fillId="4" borderId="1" xfId="0" applyFont="1" applyFill="1" applyBorder="1" applyAlignment="1">
      <alignment horizontal="center" vertical="center"/>
    </xf>
    <xf numFmtId="164" fontId="7" fillId="6" borderId="20" xfId="2" applyNumberFormat="1" applyFont="1" applyFill="1" applyBorder="1" applyAlignment="1">
      <alignment horizontal="right" indent="1"/>
    </xf>
    <xf numFmtId="164" fontId="7" fillId="6" borderId="18" xfId="2" applyNumberFormat="1" applyFont="1" applyFill="1" applyBorder="1" applyAlignment="1">
      <alignment horizontal="right" indent="1"/>
    </xf>
    <xf numFmtId="0" fontId="7" fillId="2" borderId="26" xfId="0" applyFont="1" applyFill="1" applyBorder="1" applyAlignment="1">
      <alignment horizontal="left"/>
    </xf>
    <xf numFmtId="3" fontId="6" fillId="10" borderId="3" xfId="0" applyNumberFormat="1" applyFont="1" applyFill="1" applyBorder="1" applyAlignment="1">
      <alignment horizontal="center" vertical="center"/>
    </xf>
    <xf numFmtId="3" fontId="6" fillId="10" borderId="7" xfId="0" applyNumberFormat="1" applyFont="1" applyFill="1" applyBorder="1" applyAlignment="1">
      <alignment horizontal="center" vertical="center"/>
    </xf>
    <xf numFmtId="0" fontId="6" fillId="0" borderId="1" xfId="0" applyFont="1" applyBorder="1" applyAlignment="1" applyProtection="1">
      <alignment horizontal="left"/>
      <protection locked="0"/>
    </xf>
    <xf numFmtId="0" fontId="10" fillId="8" borderId="4" xfId="0" applyNumberFormat="1" applyFont="1" applyFill="1" applyBorder="1" applyAlignment="1">
      <alignment horizontal="center"/>
    </xf>
    <xf numFmtId="0" fontId="10" fillId="8" borderId="6" xfId="0" applyNumberFormat="1" applyFont="1" applyFill="1" applyBorder="1" applyAlignment="1">
      <alignment horizontal="center"/>
    </xf>
    <xf numFmtId="0" fontId="10" fillId="8" borderId="5" xfId="0" applyNumberFormat="1" applyFont="1" applyFill="1" applyBorder="1" applyAlignment="1">
      <alignment horizont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3" fillId="3" borderId="4" xfId="0" applyFont="1" applyFill="1" applyBorder="1" applyAlignment="1" applyProtection="1">
      <alignment horizontal="center"/>
      <protection locked="0"/>
    </xf>
    <xf numFmtId="0" fontId="3" fillId="3" borderId="5" xfId="0" applyFont="1" applyFill="1" applyBorder="1" applyAlignment="1" applyProtection="1">
      <alignment horizontal="center"/>
      <protection locked="0"/>
    </xf>
    <xf numFmtId="0" fontId="3" fillId="2" borderId="13" xfId="0" applyFont="1" applyFill="1" applyBorder="1" applyAlignment="1">
      <alignment horizontal="left"/>
    </xf>
    <xf numFmtId="0" fontId="14" fillId="2" borderId="0" xfId="0" applyFont="1" applyFill="1" applyBorder="1" applyAlignment="1">
      <alignment horizontal="center"/>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EEEEEE"/>
      <color rgb="FFF1F1E7"/>
      <color rgb="FFFFFFCC"/>
      <color rgb="FFFCE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france.gouv.fr/codes/article_lc/LEGIARTI000031599676/2026-05-2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2D32-C385-4E99-9F8D-00CED2ECA6D5}">
  <dimension ref="A1:L122"/>
  <sheetViews>
    <sheetView tabSelected="1" zoomScale="85" zoomScaleNormal="85" workbookViewId="0">
      <selection activeCell="C79" sqref="C79"/>
    </sheetView>
  </sheetViews>
  <sheetFormatPr baseColWidth="10" defaultRowHeight="14.25" x14ac:dyDescent="0.25"/>
  <cols>
    <col min="1" max="1" width="37.28515625" style="5" customWidth="1"/>
    <col min="2" max="2" width="20.42578125" style="5" customWidth="1"/>
    <col min="3" max="3" width="12.140625" style="5" customWidth="1"/>
    <col min="4" max="4" width="17.140625" style="5" customWidth="1"/>
    <col min="5" max="5" width="18.7109375" style="5" customWidth="1"/>
    <col min="6" max="6" width="20.5703125" style="5" customWidth="1"/>
    <col min="7" max="7" width="20.85546875" style="5" customWidth="1"/>
    <col min="8" max="8" width="18.85546875" style="5" customWidth="1"/>
    <col min="9" max="9" width="17.42578125" style="5" customWidth="1"/>
    <col min="10" max="16384" width="11.42578125" style="5"/>
  </cols>
  <sheetData>
    <row r="1" spans="1:12" ht="17.25" x14ac:dyDescent="0.3">
      <c r="A1" s="73" t="s">
        <v>232</v>
      </c>
    </row>
    <row r="2" spans="1:12" ht="17.25" x14ac:dyDescent="0.3">
      <c r="A2" s="73" t="s">
        <v>156</v>
      </c>
    </row>
    <row r="3" spans="1:12" ht="23.25" customHeight="1" x14ac:dyDescent="0.25">
      <c r="A3" s="91" t="s">
        <v>225</v>
      </c>
    </row>
    <row r="4" spans="1:12" x14ac:dyDescent="0.25">
      <c r="A4" s="11" t="s">
        <v>0</v>
      </c>
      <c r="B4" s="146" t="s">
        <v>231</v>
      </c>
      <c r="C4" s="146"/>
    </row>
    <row r="5" spans="1:12" x14ac:dyDescent="0.25">
      <c r="A5" s="12" t="s">
        <v>1</v>
      </c>
      <c r="B5" s="145" t="s">
        <v>34</v>
      </c>
      <c r="C5" s="145"/>
    </row>
    <row r="6" spans="1:12" ht="24.75" customHeight="1" x14ac:dyDescent="0.25">
      <c r="A6" s="147" t="s">
        <v>217</v>
      </c>
      <c r="B6" s="147"/>
      <c r="C6" s="147"/>
      <c r="D6" s="147"/>
      <c r="E6" s="33" t="s">
        <v>121</v>
      </c>
    </row>
    <row r="7" spans="1:12" hidden="1" x14ac:dyDescent="0.25">
      <c r="A7" s="5" t="s">
        <v>123</v>
      </c>
      <c r="B7" s="5">
        <f>SUMIF('Taux départementaux'!A2:A102,B5,'Taux départementaux'!I2:I102)</f>
        <v>16.420000000000002</v>
      </c>
      <c r="D7" s="5" t="s">
        <v>125</v>
      </c>
      <c r="E7" s="5" t="s">
        <v>121</v>
      </c>
    </row>
    <row r="8" spans="1:12" x14ac:dyDescent="0.25">
      <c r="A8" s="5" t="s">
        <v>175</v>
      </c>
    </row>
    <row r="9" spans="1:12" ht="12" customHeight="1" x14ac:dyDescent="0.25"/>
    <row r="10" spans="1:12" ht="47.25" customHeight="1" x14ac:dyDescent="0.25">
      <c r="A10" s="164" t="s">
        <v>233</v>
      </c>
      <c r="B10" s="164"/>
      <c r="C10" s="164"/>
      <c r="D10" s="164"/>
      <c r="E10" s="164"/>
      <c r="F10" s="164"/>
      <c r="G10" s="164"/>
      <c r="H10" s="72"/>
      <c r="I10" s="72"/>
    </row>
    <row r="11" spans="1:12" ht="36.75" customHeight="1" x14ac:dyDescent="0.25">
      <c r="A11" s="137" t="s">
        <v>216</v>
      </c>
      <c r="B11" s="137"/>
      <c r="C11" s="137"/>
      <c r="D11" s="137"/>
      <c r="E11" s="137"/>
      <c r="F11" s="137"/>
      <c r="G11" s="137"/>
    </row>
    <row r="12" spans="1:12" ht="18" customHeight="1" x14ac:dyDescent="0.3">
      <c r="A12" s="158" t="str">
        <f>UPPER("ETAPE 1 : Saisie des bases, taux et coefficient correcteur 2026 (afin d'établir les différents leviers)")</f>
        <v>ETAPE 1 : SAISIE DES BASES, TAUX ET COEFFICIENT CORRECTEUR 2026 (AFIN D'ÉTABLIR LES DIFFÉRENTS LEVIERS)</v>
      </c>
      <c r="B12" s="158"/>
      <c r="C12" s="158"/>
      <c r="D12" s="158"/>
      <c r="E12" s="158"/>
      <c r="F12" s="158"/>
      <c r="G12" s="158"/>
      <c r="H12" s="158"/>
      <c r="I12" s="158"/>
    </row>
    <row r="13" spans="1:12" ht="25.5" customHeight="1" x14ac:dyDescent="0.3">
      <c r="A13" s="94" t="s">
        <v>157</v>
      </c>
      <c r="B13" s="13" t="s">
        <v>159</v>
      </c>
      <c r="C13" s="13" t="s">
        <v>169</v>
      </c>
      <c r="D13" s="13" t="s">
        <v>122</v>
      </c>
      <c r="E13" s="148" t="s">
        <v>124</v>
      </c>
      <c r="F13" s="149"/>
      <c r="G13" s="13" t="s">
        <v>126</v>
      </c>
      <c r="H13" s="24" t="s">
        <v>176</v>
      </c>
      <c r="I13" s="24" t="s">
        <v>165</v>
      </c>
    </row>
    <row r="14" spans="1:12" x14ac:dyDescent="0.25">
      <c r="A14" s="11" t="s">
        <v>118</v>
      </c>
      <c r="B14" s="34">
        <v>3150000</v>
      </c>
      <c r="C14" s="35">
        <v>42.5</v>
      </c>
      <c r="D14" s="42">
        <f>IF(SUMIF('Taux départementaux'!A2:A102,B5,'Taux départementaux'!E2:E102)&gt;'Taux nationaux'!C3,SUMIF('Taux départementaux'!A2:A102,B5,'Taux départementaux'!E2:E102),'Taux nationaux'!C3)</f>
        <v>109.13</v>
      </c>
      <c r="E14" s="150" t="s">
        <v>140</v>
      </c>
      <c r="F14" s="151"/>
      <c r="G14" s="29" t="s">
        <v>121</v>
      </c>
      <c r="H14" s="29">
        <f>SUMIF('Taux départementaux'!A2:A102,B5,'Taux départementaux'!D2:D102)</f>
        <v>43.65</v>
      </c>
      <c r="I14" s="42">
        <f>'Taux nationaux'!B3</f>
        <v>39.79</v>
      </c>
    </row>
    <row r="15" spans="1:12" x14ac:dyDescent="0.25">
      <c r="A15" s="11" t="s">
        <v>160</v>
      </c>
      <c r="B15" s="34">
        <v>160000</v>
      </c>
      <c r="C15" s="35">
        <v>75</v>
      </c>
      <c r="D15" s="42">
        <f>IF(SUMIF('Taux départementaux'!A2:A102,B5,'Taux départementaux'!G2:G102)&gt;'Taux nationaux'!C4,SUMIF('Taux départementaux'!A2:A102,B5,'Taux départementaux'!G2:G102),'Taux nationaux'!C4)</f>
        <v>192.13</v>
      </c>
      <c r="E15" s="150" t="s">
        <v>140</v>
      </c>
      <c r="F15" s="151"/>
      <c r="G15" s="29" t="s">
        <v>121</v>
      </c>
      <c r="H15" s="29">
        <f>SUMIF('Taux départementaux'!A2:A102,B5,'Taux départementaux'!F2:F102)</f>
        <v>76.849999999999994</v>
      </c>
      <c r="I15" s="42">
        <f>'Taux nationaux'!B4</f>
        <v>51.19</v>
      </c>
    </row>
    <row r="16" spans="1:12" ht="36" customHeight="1" x14ac:dyDescent="0.25">
      <c r="A16" s="18" t="s">
        <v>158</v>
      </c>
      <c r="B16" s="34">
        <v>52000</v>
      </c>
      <c r="C16" s="35">
        <v>18</v>
      </c>
      <c r="D16" s="42">
        <f>SUMIF('Taux départementaux'!A2:A102,B5,'Taux départementaux'!C2:C102)</f>
        <v>75.900000000000006</v>
      </c>
      <c r="E16" s="152" t="str">
        <f>IF(C16&lt;B7,"Majoration annuelle possible de " &amp;SUMIF('Taux départementaux'!A2:A102,B5,'Taux départementaux'!J2:J102) &amp;" points de taux, tant que ce dernier ne dépasse pas " &amp;B7,"Aucune majoration possible")</f>
        <v>Aucune majoration possible</v>
      </c>
      <c r="F16" s="153"/>
      <c r="G16" s="29" t="str">
        <f>IF(E6="Oui","Majoration complémentaire de 60% sur le produit","Non")</f>
        <v>Non</v>
      </c>
      <c r="H16" s="29">
        <f>SUMIF('Taux départementaux'!A2:A102,B5,'Taux départementaux'!B2:B102)</f>
        <v>30.36</v>
      </c>
      <c r="I16" s="42">
        <f>'Taux nationaux'!B2</f>
        <v>23.67</v>
      </c>
      <c r="J16" s="161" t="str">
        <f>"Moyenne de taux THRS départementale 'retraitée' : " &amp;B7</f>
        <v>Moyenne de taux THRS départementale 'retraitée' : 16,42</v>
      </c>
      <c r="K16" s="162"/>
      <c r="L16" s="163"/>
    </row>
    <row r="17" spans="1:9" ht="43.5" customHeight="1" x14ac:dyDescent="0.25">
      <c r="A17" s="19" t="s">
        <v>161</v>
      </c>
      <c r="B17" s="34">
        <v>19000</v>
      </c>
      <c r="C17" s="35">
        <v>19.5</v>
      </c>
      <c r="D17" s="154">
        <f>IF(E6="Non",50,"le taux est fixé par la loi : 17,00 la 1ière année de vacance, puis 34,00 à partir de la seconde")</f>
        <v>50</v>
      </c>
      <c r="E17" s="155"/>
      <c r="F17" s="156"/>
      <c r="G17" s="43" t="str">
        <f>IF(E6="Oui","Majoration complémentaire de 30% du produit","Non")</f>
        <v>Non</v>
      </c>
      <c r="H17" s="44" t="s">
        <v>140</v>
      </c>
      <c r="I17" s="44" t="s">
        <v>140</v>
      </c>
    </row>
    <row r="18" spans="1:9" ht="27" customHeight="1" x14ac:dyDescent="0.25">
      <c r="A18" s="165" t="s">
        <v>224</v>
      </c>
      <c r="B18" s="165"/>
      <c r="C18" s="165"/>
      <c r="D18" s="165"/>
      <c r="E18" s="165"/>
      <c r="F18" s="165"/>
      <c r="G18" s="165"/>
      <c r="H18" s="165"/>
      <c r="I18" s="165"/>
    </row>
    <row r="19" spans="1:9" hidden="1" x14ac:dyDescent="0.25">
      <c r="A19" s="7"/>
      <c r="B19" s="157" t="s">
        <v>133</v>
      </c>
      <c r="C19" s="157"/>
      <c r="D19" s="157"/>
      <c r="E19" s="7" t="s">
        <v>134</v>
      </c>
    </row>
    <row r="20" spans="1:9" hidden="1" x14ac:dyDescent="0.25">
      <c r="A20" s="7" t="s">
        <v>128</v>
      </c>
      <c r="B20" s="159" t="s">
        <v>188</v>
      </c>
      <c r="C20" s="159"/>
      <c r="D20" s="159"/>
      <c r="E20" s="8" t="s">
        <v>189</v>
      </c>
    </row>
    <row r="21" spans="1:9" hidden="1" x14ac:dyDescent="0.25">
      <c r="A21" s="7" t="s">
        <v>129</v>
      </c>
      <c r="B21" s="160" t="s">
        <v>137</v>
      </c>
      <c r="C21" s="159"/>
      <c r="D21" s="159"/>
      <c r="E21" s="7" t="s">
        <v>189</v>
      </c>
      <c r="H21" s="9" t="s">
        <v>135</v>
      </c>
    </row>
    <row r="22" spans="1:9" hidden="1" x14ac:dyDescent="0.25">
      <c r="A22" s="7" t="s">
        <v>130</v>
      </c>
      <c r="B22" s="160" t="s">
        <v>138</v>
      </c>
      <c r="C22" s="159"/>
      <c r="D22" s="159"/>
      <c r="E22" s="7" t="s">
        <v>190</v>
      </c>
    </row>
    <row r="23" spans="1:9" hidden="1" x14ac:dyDescent="0.25">
      <c r="A23" s="7" t="s">
        <v>131</v>
      </c>
      <c r="B23" s="159" t="s">
        <v>132</v>
      </c>
      <c r="C23" s="159"/>
      <c r="D23" s="159"/>
      <c r="E23" s="7" t="s">
        <v>140</v>
      </c>
    </row>
    <row r="24" spans="1:9" hidden="1" x14ac:dyDescent="0.25">
      <c r="A24" s="10" t="s">
        <v>136</v>
      </c>
      <c r="B24" s="5" t="s">
        <v>139</v>
      </c>
    </row>
    <row r="25" spans="1:9" ht="16.5" x14ac:dyDescent="0.3">
      <c r="A25" s="95" t="s">
        <v>234</v>
      </c>
      <c r="B25" s="96">
        <v>250000</v>
      </c>
      <c r="C25" s="5" t="s">
        <v>223</v>
      </c>
    </row>
    <row r="27" spans="1:9" ht="16.5" x14ac:dyDescent="0.3">
      <c r="A27" s="158" t="str">
        <f>UPPER("Rappel des règles de lien entre les différents taux de fiscalité locale")</f>
        <v>RAPPEL DES RÈGLES DE LIEN ENTRE LES DIFFÉRENTS TAUX DE FISCALITÉ LOCALE</v>
      </c>
      <c r="B27" s="158"/>
      <c r="C27" s="158"/>
      <c r="D27" s="158"/>
      <c r="E27" s="158"/>
      <c r="F27" s="158"/>
      <c r="G27" s="158"/>
      <c r="H27" s="158"/>
      <c r="I27" s="158"/>
    </row>
    <row r="28" spans="1:9" ht="15" customHeight="1" x14ac:dyDescent="0.3">
      <c r="A28" s="15" t="s">
        <v>114</v>
      </c>
      <c r="B28" s="138" t="s">
        <v>141</v>
      </c>
      <c r="C28" s="138"/>
      <c r="D28" s="138"/>
      <c r="E28" s="138" t="s">
        <v>134</v>
      </c>
      <c r="F28" s="138"/>
      <c r="G28" s="144" t="s">
        <v>142</v>
      </c>
      <c r="H28" s="144"/>
    </row>
    <row r="29" spans="1:9" ht="62.25" customHeight="1" x14ac:dyDescent="0.25">
      <c r="A29" s="81" t="s">
        <v>118</v>
      </c>
      <c r="B29" s="142" t="s">
        <v>194</v>
      </c>
      <c r="C29" s="142"/>
      <c r="D29" s="142"/>
      <c r="E29" s="142" t="s">
        <v>196</v>
      </c>
      <c r="F29" s="142"/>
      <c r="G29" s="124" t="s">
        <v>198</v>
      </c>
      <c r="H29" s="124"/>
    </row>
    <row r="30" spans="1:9" ht="27" customHeight="1" x14ac:dyDescent="0.25">
      <c r="A30" s="81" t="s">
        <v>160</v>
      </c>
      <c r="B30" s="142" t="s">
        <v>144</v>
      </c>
      <c r="C30" s="142"/>
      <c r="D30" s="142"/>
      <c r="E30" s="142" t="s">
        <v>143</v>
      </c>
      <c r="F30" s="142"/>
      <c r="G30" s="124" t="s">
        <v>198</v>
      </c>
      <c r="H30" s="124"/>
    </row>
    <row r="31" spans="1:9" ht="78.75" customHeight="1" x14ac:dyDescent="0.25">
      <c r="A31" s="81" t="s">
        <v>158</v>
      </c>
      <c r="B31" s="142" t="s">
        <v>195</v>
      </c>
      <c r="C31" s="142"/>
      <c r="D31" s="142"/>
      <c r="E31" s="142" t="s">
        <v>215</v>
      </c>
      <c r="F31" s="142"/>
      <c r="G31" s="124" t="s">
        <v>199</v>
      </c>
      <c r="H31" s="124"/>
    </row>
    <row r="32" spans="1:9" ht="24" x14ac:dyDescent="0.25">
      <c r="A32" s="81" t="s">
        <v>161</v>
      </c>
      <c r="B32" s="142" t="s">
        <v>145</v>
      </c>
      <c r="C32" s="142"/>
      <c r="D32" s="142"/>
      <c r="E32" s="142" t="s">
        <v>140</v>
      </c>
      <c r="F32" s="142"/>
      <c r="G32" s="124" t="s">
        <v>162</v>
      </c>
      <c r="H32" s="124"/>
    </row>
    <row r="34" spans="1:9" ht="16.5" x14ac:dyDescent="0.3">
      <c r="A34" s="143" t="str">
        <f>UPPER("Etape 2 : Evolution des bases selon l'inflation (IPCH) et selon les travaux(constructions)")</f>
        <v>ETAPE 2 : EVOLUTION DES BASES SELON L'INFLATION (IPCH) ET SELON LES TRAVAUX(CONSTRUCTIONS)</v>
      </c>
      <c r="B34" s="143"/>
      <c r="C34" s="143"/>
      <c r="D34" s="143"/>
      <c r="E34" s="143"/>
      <c r="F34" s="143"/>
      <c r="G34" s="143"/>
      <c r="H34" s="143"/>
      <c r="I34" s="143"/>
    </row>
    <row r="35" spans="1:9" ht="21" customHeight="1" x14ac:dyDescent="0.25">
      <c r="A35" s="166" t="s">
        <v>149</v>
      </c>
      <c r="B35" s="167"/>
      <c r="C35" s="82">
        <v>2026</v>
      </c>
      <c r="D35" s="82">
        <v>2027</v>
      </c>
      <c r="E35" s="82">
        <v>2028</v>
      </c>
      <c r="F35" s="82">
        <v>2029</v>
      </c>
      <c r="G35" s="82">
        <v>2030</v>
      </c>
      <c r="H35" s="82">
        <v>2031</v>
      </c>
    </row>
    <row r="36" spans="1:9" x14ac:dyDescent="0.25">
      <c r="A36" s="168"/>
      <c r="B36" s="169"/>
      <c r="C36" s="65">
        <v>8.9999999999999993E-3</v>
      </c>
      <c r="D36" s="74">
        <v>2.8000000000000001E-2</v>
      </c>
      <c r="E36" s="74">
        <v>0.02</v>
      </c>
      <c r="F36" s="74">
        <v>1.4999999999999999E-2</v>
      </c>
      <c r="G36" s="74">
        <v>1.4999999999999999E-2</v>
      </c>
      <c r="H36" s="74">
        <v>1.4999999999999999E-2</v>
      </c>
    </row>
    <row r="37" spans="1:9" ht="25.5" customHeight="1" x14ac:dyDescent="0.25">
      <c r="A37" s="76" t="s">
        <v>211</v>
      </c>
      <c r="B37" s="75"/>
      <c r="C37" s="75"/>
    </row>
    <row r="38" spans="1:9" ht="29.25" customHeight="1" x14ac:dyDescent="0.25">
      <c r="A38" s="172" t="s">
        <v>209</v>
      </c>
      <c r="B38" s="172"/>
      <c r="C38" s="82">
        <v>2026</v>
      </c>
      <c r="D38" s="82">
        <v>2027</v>
      </c>
      <c r="E38" s="82">
        <v>2028</v>
      </c>
      <c r="F38" s="82">
        <v>2029</v>
      </c>
      <c r="G38" s="82">
        <v>2030</v>
      </c>
      <c r="H38" s="82">
        <v>2031</v>
      </c>
    </row>
    <row r="39" spans="1:9" x14ac:dyDescent="0.25">
      <c r="A39" s="132" t="s">
        <v>118</v>
      </c>
      <c r="B39" s="133"/>
      <c r="C39" s="139"/>
      <c r="D39" s="34"/>
      <c r="E39" s="34">
        <v>10000</v>
      </c>
      <c r="F39" s="34"/>
      <c r="G39" s="34">
        <v>10000</v>
      </c>
      <c r="H39" s="34"/>
    </row>
    <row r="40" spans="1:9" x14ac:dyDescent="0.25">
      <c r="A40" s="132" t="s">
        <v>160</v>
      </c>
      <c r="B40" s="133"/>
      <c r="C40" s="140"/>
      <c r="D40" s="34"/>
      <c r="E40" s="34"/>
      <c r="F40" s="34"/>
      <c r="G40" s="34"/>
      <c r="H40" s="34"/>
    </row>
    <row r="41" spans="1:9" x14ac:dyDescent="0.25">
      <c r="A41" s="132" t="s">
        <v>158</v>
      </c>
      <c r="B41" s="133"/>
      <c r="C41" s="140"/>
      <c r="D41" s="34"/>
      <c r="E41" s="34"/>
      <c r="F41" s="34"/>
      <c r="G41" s="34"/>
      <c r="H41" s="34"/>
    </row>
    <row r="42" spans="1:9" x14ac:dyDescent="0.25">
      <c r="A42" s="170" t="s">
        <v>161</v>
      </c>
      <c r="B42" s="171"/>
      <c r="C42" s="141"/>
      <c r="D42" s="100"/>
      <c r="E42" s="34"/>
      <c r="F42" s="34"/>
      <c r="G42" s="34"/>
      <c r="H42" s="34"/>
    </row>
    <row r="43" spans="1:9" ht="70.5" customHeight="1" x14ac:dyDescent="0.25">
      <c r="A43" s="137" t="s">
        <v>210</v>
      </c>
      <c r="B43" s="137"/>
      <c r="C43" s="137"/>
      <c r="D43" s="137"/>
      <c r="E43" s="137"/>
      <c r="F43" s="137"/>
      <c r="G43" s="137"/>
      <c r="H43" s="137"/>
    </row>
    <row r="44" spans="1:9" ht="9.75" customHeight="1" x14ac:dyDescent="0.25"/>
    <row r="45" spans="1:9" ht="16.5" x14ac:dyDescent="0.3">
      <c r="A45" s="143" t="str">
        <f>UPPER("Etape 3 : Evolution des taux de fiscalité")</f>
        <v>ETAPE 3 : EVOLUTION DES TAUX DE FISCALITÉ</v>
      </c>
      <c r="B45" s="143"/>
      <c r="C45" s="143"/>
      <c r="D45" s="143"/>
      <c r="E45" s="143"/>
      <c r="F45" s="143"/>
      <c r="G45" s="143"/>
      <c r="H45" s="143"/>
      <c r="I45" s="143"/>
    </row>
    <row r="46" spans="1:9" ht="29.25" customHeight="1" x14ac:dyDescent="0.25">
      <c r="A46" s="66" t="s">
        <v>212</v>
      </c>
      <c r="B46" s="77" t="s">
        <v>150</v>
      </c>
      <c r="C46" s="5" t="s">
        <v>177</v>
      </c>
    </row>
    <row r="47" spans="1:9" hidden="1" x14ac:dyDescent="0.25">
      <c r="A47" s="5" t="s">
        <v>150</v>
      </c>
      <c r="B47" s="5" t="s">
        <v>151</v>
      </c>
    </row>
    <row r="48" spans="1:9" x14ac:dyDescent="0.25">
      <c r="C48" s="5" t="s">
        <v>178</v>
      </c>
    </row>
    <row r="49" spans="1:9" ht="15" customHeight="1" x14ac:dyDescent="0.25">
      <c r="A49" s="174" t="s">
        <v>179</v>
      </c>
      <c r="B49" s="174"/>
      <c r="C49" s="82">
        <v>2026</v>
      </c>
      <c r="D49" s="82">
        <v>2027</v>
      </c>
      <c r="E49" s="82">
        <v>2028</v>
      </c>
      <c r="F49" s="82">
        <v>2029</v>
      </c>
      <c r="G49" s="82">
        <v>2030</v>
      </c>
      <c r="H49" s="82">
        <v>2031</v>
      </c>
    </row>
    <row r="50" spans="1:9" x14ac:dyDescent="0.25">
      <c r="A50" s="174"/>
      <c r="B50" s="174"/>
      <c r="C50" s="16"/>
      <c r="D50" s="36">
        <v>0.08</v>
      </c>
      <c r="E50" s="36"/>
      <c r="F50" s="36"/>
      <c r="G50" s="36"/>
      <c r="H50" s="36"/>
    </row>
    <row r="52" spans="1:9" x14ac:dyDescent="0.25">
      <c r="A52" s="114" t="s">
        <v>218</v>
      </c>
      <c r="B52" s="114"/>
      <c r="C52" s="82">
        <v>2026</v>
      </c>
      <c r="D52" s="82">
        <v>2027</v>
      </c>
      <c r="E52" s="82">
        <v>2028</v>
      </c>
      <c r="F52" s="82">
        <v>2029</v>
      </c>
      <c r="G52" s="82">
        <v>2030</v>
      </c>
      <c r="H52" s="82">
        <v>2031</v>
      </c>
    </row>
    <row r="53" spans="1:9" x14ac:dyDescent="0.25">
      <c r="A53" s="132" t="str">
        <f>IF($B$46="Manuelle","Taxe foncière sur les propriétés bâties (TFPB)","Ne rien saisir")</f>
        <v>Ne rien saisir</v>
      </c>
      <c r="B53" s="133"/>
      <c r="C53" s="108">
        <f>C14</f>
        <v>42.5</v>
      </c>
      <c r="D53" s="35"/>
      <c r="E53" s="35"/>
      <c r="F53" s="35"/>
      <c r="G53" s="35"/>
      <c r="H53" s="35"/>
    </row>
    <row r="54" spans="1:9" x14ac:dyDescent="0.25">
      <c r="A54" s="132" t="str">
        <f>IF($B$46="Manuelle","Taxe foncière sur le non bâti (TFPNB)","Ne rien saisir")</f>
        <v>Ne rien saisir</v>
      </c>
      <c r="B54" s="133"/>
      <c r="C54" s="108">
        <f>C15</f>
        <v>75</v>
      </c>
      <c r="D54" s="35"/>
      <c r="E54" s="35"/>
      <c r="F54" s="35"/>
      <c r="G54" s="35"/>
      <c r="H54" s="35"/>
    </row>
    <row r="55" spans="1:9" x14ac:dyDescent="0.25">
      <c r="A55" s="132" t="str">
        <f>IF($B$46="Manuelle","Taxe d'habitation sur les résidences secondaires (THRS)","Ne rien saisir")</f>
        <v>Ne rien saisir</v>
      </c>
      <c r="B55" s="133"/>
      <c r="C55" s="108">
        <f>C16</f>
        <v>18</v>
      </c>
      <c r="D55" s="35"/>
      <c r="E55" s="35"/>
      <c r="F55" s="35"/>
      <c r="G55" s="35"/>
      <c r="H55" s="35"/>
    </row>
    <row r="56" spans="1:9" x14ac:dyDescent="0.25">
      <c r="D56" s="6"/>
    </row>
    <row r="57" spans="1:9" ht="30" customHeight="1" x14ac:dyDescent="0.25">
      <c r="A57" s="127" t="s">
        <v>213</v>
      </c>
      <c r="B57" s="127"/>
      <c r="C57" s="16"/>
      <c r="D57" s="35">
        <v>50</v>
      </c>
      <c r="E57" s="35">
        <v>50</v>
      </c>
      <c r="F57" s="35">
        <v>50</v>
      </c>
      <c r="G57" s="35">
        <v>50</v>
      </c>
      <c r="H57" s="35">
        <v>50</v>
      </c>
    </row>
    <row r="58" spans="1:9" ht="15" customHeight="1" x14ac:dyDescent="0.25">
      <c r="A58" s="173" t="s">
        <v>180</v>
      </c>
      <c r="B58" s="173"/>
      <c r="C58" s="173"/>
      <c r="D58" s="5" t="str">
        <f>IF(E6="Oui","    |&gt;&gt;Pour la TVLH des Communes en zone tendue : nous préconisons d'inscrire un taux moyen (entre 17,00 et 34,00)","")</f>
        <v/>
      </c>
    </row>
    <row r="59" spans="1:9" x14ac:dyDescent="0.25">
      <c r="D59" s="6"/>
    </row>
    <row r="60" spans="1:9" x14ac:dyDescent="0.25">
      <c r="G60" s="17"/>
    </row>
    <row r="61" spans="1:9" ht="16.5" x14ac:dyDescent="0.3">
      <c r="A61" s="143" t="str">
        <f>UPPER("Etape 4 et résultat : Evolution du produit")</f>
        <v>ETAPE 4 ET RÉSULTAT : EVOLUTION DU PRODUIT</v>
      </c>
      <c r="B61" s="143"/>
      <c r="C61" s="143"/>
      <c r="D61" s="143"/>
      <c r="E61" s="143"/>
      <c r="F61" s="143"/>
      <c r="G61" s="143"/>
      <c r="H61" s="143"/>
      <c r="I61" s="143"/>
    </row>
    <row r="62" spans="1:9" x14ac:dyDescent="0.25">
      <c r="C62" s="82">
        <v>2026</v>
      </c>
      <c r="D62" s="82">
        <v>2027</v>
      </c>
      <c r="E62" s="82">
        <v>2028</v>
      </c>
      <c r="F62" s="82">
        <v>2029</v>
      </c>
      <c r="G62" s="82">
        <v>2030</v>
      </c>
      <c r="H62" s="82">
        <v>2031</v>
      </c>
    </row>
    <row r="63" spans="1:9" x14ac:dyDescent="0.25">
      <c r="A63" s="118" t="s">
        <v>118</v>
      </c>
      <c r="B63" s="83" t="s">
        <v>147</v>
      </c>
      <c r="C63" s="45">
        <f>B14</f>
        <v>3150000</v>
      </c>
      <c r="D63" s="45">
        <f>IFERROR((C63*D36)+C63+(D39/(D64/100)),"saisir évolution")</f>
        <v>3238200</v>
      </c>
      <c r="E63" s="45">
        <f>IFERROR((D63*E36)+D63+(E39/(E64/100)),"saisir évolution")</f>
        <v>3324750.4923747275</v>
      </c>
      <c r="F63" s="45">
        <f>IFERROR((E63*F36)+E63+(F39/(F64/100)),"saisir évolution")</f>
        <v>3374621.7497603483</v>
      </c>
      <c r="G63" s="45">
        <f>IFERROR((F63*G36)+F63+(G39/(G64/100)),"saisir évolution")</f>
        <v>3447027.5683814809</v>
      </c>
      <c r="H63" s="45">
        <f>IFERROR((G63*H36)+G63+(H39/(H64/100)),"saisir évolution")</f>
        <v>3498732.9819072029</v>
      </c>
    </row>
    <row r="64" spans="1:9" x14ac:dyDescent="0.25">
      <c r="A64" s="119"/>
      <c r="B64" s="83" t="s">
        <v>146</v>
      </c>
      <c r="C64" s="42">
        <f>C14</f>
        <v>42.5</v>
      </c>
      <c r="D64" s="42">
        <f>IF($B$46="Manuelle",D53,C64+(C64*D50))</f>
        <v>45.9</v>
      </c>
      <c r="E64" s="42">
        <f>IF($B$46="Manuelle",E53,D64+(D64*E50))</f>
        <v>45.9</v>
      </c>
      <c r="F64" s="42">
        <f>IF($B$46="Manuelle",F53,E64+(E64*F50))</f>
        <v>45.9</v>
      </c>
      <c r="G64" s="42">
        <f>IF($B$46="Manuelle",G53,F64+(F64*G50))</f>
        <v>45.9</v>
      </c>
      <c r="H64" s="42">
        <f>IF($B$46="Manuelle",H53,G64+(G64*H50))</f>
        <v>45.9</v>
      </c>
      <c r="I64" s="17"/>
    </row>
    <row r="65" spans="1:10" x14ac:dyDescent="0.25">
      <c r="A65" s="128"/>
      <c r="B65" s="83" t="s">
        <v>127</v>
      </c>
      <c r="C65" s="46">
        <f>C63*C64/100</f>
        <v>1338750</v>
      </c>
      <c r="D65" s="46">
        <f>IFERROR((D63*D64/100),0)</f>
        <v>1486333.8</v>
      </c>
      <c r="E65" s="46">
        <f t="shared" ref="E65:H65" si="0">IFERROR((E63*E64/100),0)</f>
        <v>1526060.476</v>
      </c>
      <c r="F65" s="46">
        <f t="shared" si="0"/>
        <v>1548951.3831399998</v>
      </c>
      <c r="G65" s="46">
        <f t="shared" si="0"/>
        <v>1582185.6538870996</v>
      </c>
      <c r="H65" s="46">
        <f t="shared" si="0"/>
        <v>1605918.4386954061</v>
      </c>
    </row>
    <row r="66" spans="1:10" x14ac:dyDescent="0.25">
      <c r="E66" s="6"/>
    </row>
    <row r="67" spans="1:10" x14ac:dyDescent="0.25">
      <c r="A67" s="129" t="s">
        <v>160</v>
      </c>
      <c r="B67" s="83" t="s">
        <v>147</v>
      </c>
      <c r="C67" s="45">
        <f>B15</f>
        <v>160000</v>
      </c>
      <c r="D67" s="45">
        <f>IFERROR((C67*D36)+C67+(D40/(D68/100)),"Saisir évolution")</f>
        <v>164480</v>
      </c>
      <c r="E67" s="45">
        <f>IFERROR((D67*E36)+D67+(E40/(E68/100)),"Saisir évolution")</f>
        <v>167769.60000000001</v>
      </c>
      <c r="F67" s="45">
        <f>IFERROR((E67*F36)+E67+(F40/(F68/100)),"Saisir évolution")</f>
        <v>170286.144</v>
      </c>
      <c r="G67" s="45">
        <f>IFERROR((F67*G36)+F67+(G40/(G68/100)),"Saisir évolution")</f>
        <v>172840.43616000001</v>
      </c>
      <c r="H67" s="45">
        <f>IFERROR((G67*H36)+G67+(H40/(H68/100)),"Saisir évolution")</f>
        <v>175433.04270240001</v>
      </c>
    </row>
    <row r="68" spans="1:10" x14ac:dyDescent="0.25">
      <c r="A68" s="130"/>
      <c r="B68" s="83" t="s">
        <v>146</v>
      </c>
      <c r="C68" s="42">
        <f>C15</f>
        <v>75</v>
      </c>
      <c r="D68" s="42">
        <f>IF($B$46="Manuelle",D54,C68+(C68*D50))</f>
        <v>81</v>
      </c>
      <c r="E68" s="42">
        <f>IF($B$46="Manuelle",E54,D68+(D68*E50))</f>
        <v>81</v>
      </c>
      <c r="F68" s="42">
        <f>IF($B$46="Manuelle",F54,E68+(E68*F50))</f>
        <v>81</v>
      </c>
      <c r="G68" s="42">
        <f>IF($B$46="Manuelle",G54,F68+(F68*G50))</f>
        <v>81</v>
      </c>
      <c r="H68" s="42">
        <f>IF($B$46="Manuelle",H54,G68+(G68*H50))</f>
        <v>81</v>
      </c>
      <c r="J68" s="17"/>
    </row>
    <row r="69" spans="1:10" x14ac:dyDescent="0.25">
      <c r="A69" s="131"/>
      <c r="B69" s="83" t="s">
        <v>127</v>
      </c>
      <c r="C69" s="46">
        <f>C67*C68/100</f>
        <v>120000</v>
      </c>
      <c r="D69" s="46">
        <f>IFERROR((D67*D68/100),0)</f>
        <v>133228.79999999999</v>
      </c>
      <c r="E69" s="46">
        <f t="shared" ref="E69:H69" si="1">IFERROR((E67*E68/100),0)</f>
        <v>135893.37599999999</v>
      </c>
      <c r="F69" s="46">
        <f t="shared" si="1"/>
        <v>137931.77664</v>
      </c>
      <c r="G69" s="46">
        <f t="shared" si="1"/>
        <v>140000.75328960002</v>
      </c>
      <c r="H69" s="46">
        <f t="shared" si="1"/>
        <v>142100.764588944</v>
      </c>
      <c r="J69" s="17"/>
    </row>
    <row r="70" spans="1:10" x14ac:dyDescent="0.25">
      <c r="E70" s="6"/>
      <c r="J70" s="17"/>
    </row>
    <row r="71" spans="1:10" x14ac:dyDescent="0.25">
      <c r="A71" s="116" t="s">
        <v>158</v>
      </c>
      <c r="B71" s="83" t="s">
        <v>147</v>
      </c>
      <c r="C71" s="45">
        <f>B16</f>
        <v>52000</v>
      </c>
      <c r="D71" s="45">
        <f>IFERROR((C71*D36)+C71+(D41/(D72/100)),"saisir évolution")</f>
        <v>53456</v>
      </c>
      <c r="E71" s="45">
        <f>IFERROR((D71*E36)+D71+(E41/(E72/100)),"saisir évolution")</f>
        <v>54525.120000000003</v>
      </c>
      <c r="F71" s="45">
        <f>IFERROR((E71*F36)+E71+(F41/(F72/100)),"saisir évolution")</f>
        <v>55342.996800000001</v>
      </c>
      <c r="G71" s="45">
        <f>IFERROR((F71*G36)+F71+(G41/(G72/100)),"saisir évolution")</f>
        <v>56173.141752000003</v>
      </c>
      <c r="H71" s="45">
        <f>IFERROR((G71*H36)+G71+(H41/(H72/100)),"saisir évolution")</f>
        <v>57015.738878280004</v>
      </c>
    </row>
    <row r="72" spans="1:10" ht="15" customHeight="1" x14ac:dyDescent="0.25">
      <c r="A72" s="117"/>
      <c r="B72" s="83" t="s">
        <v>146</v>
      </c>
      <c r="C72" s="42">
        <f>C16</f>
        <v>18</v>
      </c>
      <c r="D72" s="42">
        <f>IF($B$46="Manuelle",D55,C72+(C72*D50))</f>
        <v>19.440000000000001</v>
      </c>
      <c r="E72" s="42">
        <f>IF($B$46="Manuelle",E55,D72+(D72*E50))</f>
        <v>19.440000000000001</v>
      </c>
      <c r="F72" s="42">
        <f>IF($B$46="Manuelle",F55,E72+(E72*F50))</f>
        <v>19.440000000000001</v>
      </c>
      <c r="G72" s="42">
        <f>IF($B$46="Manuelle",G55,F72+(F72*G50))</f>
        <v>19.440000000000001</v>
      </c>
      <c r="H72" s="42">
        <f>IF($B$46="Manuelle",H55,G72+(G72*H50))</f>
        <v>19.440000000000001</v>
      </c>
    </row>
    <row r="73" spans="1:10" x14ac:dyDescent="0.25">
      <c r="A73" s="117"/>
      <c r="B73" s="83" t="s">
        <v>127</v>
      </c>
      <c r="C73" s="46">
        <f>C71*C72/100</f>
        <v>9360</v>
      </c>
      <c r="D73" s="46">
        <f>IFERROR((D71*D72/100),0)</f>
        <v>10391.8464</v>
      </c>
      <c r="E73" s="46">
        <f t="shared" ref="E73:H73" si="2">IFERROR((E71*E72/100),0)</f>
        <v>10599.683328000003</v>
      </c>
      <c r="F73" s="46">
        <f t="shared" si="2"/>
        <v>10758.67857792</v>
      </c>
      <c r="G73" s="46">
        <f t="shared" si="2"/>
        <v>10920.058756588802</v>
      </c>
      <c r="H73" s="46">
        <f t="shared" si="2"/>
        <v>11083.859637937634</v>
      </c>
    </row>
    <row r="74" spans="1:10" ht="9" customHeight="1" x14ac:dyDescent="0.25">
      <c r="A74" s="20"/>
    </row>
    <row r="75" spans="1:10" x14ac:dyDescent="0.25">
      <c r="A75" s="97" t="s">
        <v>152</v>
      </c>
      <c r="B75" s="14" t="str">
        <f>IF(E6="Oui","Taux de majoration","Majoration impossible")</f>
        <v>Majoration impossible</v>
      </c>
      <c r="C75" s="40">
        <v>0.6</v>
      </c>
      <c r="D75" s="40">
        <v>0.6</v>
      </c>
      <c r="E75" s="40">
        <v>0.6</v>
      </c>
      <c r="F75" s="40">
        <v>0.6</v>
      </c>
      <c r="G75" s="40">
        <v>0.6</v>
      </c>
      <c r="H75" s="40">
        <v>0.6</v>
      </c>
    </row>
    <row r="76" spans="1:10" x14ac:dyDescent="0.25">
      <c r="A76" s="21"/>
      <c r="B76" s="82" t="str">
        <f>IF(E6="Oui","Produit de la majoration","Majoration impossible")</f>
        <v>Majoration impossible</v>
      </c>
      <c r="C76" s="47">
        <f>IF($E$6="Oui",C73*C75,0)</f>
        <v>0</v>
      </c>
      <c r="D76" s="47">
        <f>IF($E$6="Oui",D73*D75,0)</f>
        <v>0</v>
      </c>
      <c r="E76" s="47">
        <f t="shared" ref="E76:H76" si="3">IF($E$6="Oui",E73*E75,0)</f>
        <v>0</v>
      </c>
      <c r="F76" s="47">
        <f t="shared" si="3"/>
        <v>0</v>
      </c>
      <c r="G76" s="47">
        <f t="shared" si="3"/>
        <v>0</v>
      </c>
      <c r="H76" s="47">
        <f t="shared" si="3"/>
        <v>0</v>
      </c>
    </row>
    <row r="77" spans="1:10" x14ac:dyDescent="0.25">
      <c r="E77" s="6"/>
    </row>
    <row r="78" spans="1:10" x14ac:dyDescent="0.25">
      <c r="A78" s="118" t="s">
        <v>148</v>
      </c>
      <c r="B78" s="49" t="s">
        <v>147</v>
      </c>
      <c r="C78" s="45">
        <f>B17</f>
        <v>19000</v>
      </c>
      <c r="D78" s="45">
        <f>IFERROR((C78*D36)+C78+(D42/(D79/100)),"saisir Taux")</f>
        <v>19532</v>
      </c>
      <c r="E78" s="45">
        <f>IFERROR((D78*E36)+D78+(E42/(E79/100)),"saisir Taux")</f>
        <v>19922.64</v>
      </c>
      <c r="F78" s="45">
        <f>IFERROR((E78*F36)+E78+(F42/(F79/100)),"saisir Taux")</f>
        <v>20221.479599999999</v>
      </c>
      <c r="G78" s="45">
        <f>IFERROR((F78*G36)+F78+(G42/(G79/100)),"saisir Taux")</f>
        <v>20524.801793999999</v>
      </c>
      <c r="H78" s="45">
        <f>IFERROR((G78*H36)+G78+(H42/(H79/100)),"saisir Taux")</f>
        <v>20832.67382091</v>
      </c>
    </row>
    <row r="79" spans="1:10" x14ac:dyDescent="0.25">
      <c r="A79" s="119"/>
      <c r="B79" s="49" t="s">
        <v>146</v>
      </c>
      <c r="C79" s="42">
        <f>C17</f>
        <v>19.5</v>
      </c>
      <c r="D79" s="42">
        <f t="shared" ref="D79:H79" si="4">IFERROR(D57,"Saisir taux")</f>
        <v>50</v>
      </c>
      <c r="E79" s="42">
        <f t="shared" si="4"/>
        <v>50</v>
      </c>
      <c r="F79" s="42">
        <f t="shared" si="4"/>
        <v>50</v>
      </c>
      <c r="G79" s="42">
        <f t="shared" si="4"/>
        <v>50</v>
      </c>
      <c r="H79" s="42">
        <f t="shared" si="4"/>
        <v>50</v>
      </c>
    </row>
    <row r="80" spans="1:10" x14ac:dyDescent="0.25">
      <c r="A80" s="119"/>
      <c r="B80" s="49" t="s">
        <v>127</v>
      </c>
      <c r="C80" s="46">
        <f>IFERROR(C78*C79/100,0)</f>
        <v>3705</v>
      </c>
      <c r="D80" s="46">
        <f t="shared" ref="D80:H80" si="5">IFERROR(D78*D79/100,0)</f>
        <v>9766</v>
      </c>
      <c r="E80" s="46">
        <f t="shared" si="5"/>
        <v>9961.32</v>
      </c>
      <c r="F80" s="46">
        <f t="shared" si="5"/>
        <v>10110.739799999999</v>
      </c>
      <c r="G80" s="46">
        <f t="shared" si="5"/>
        <v>10262.400897</v>
      </c>
      <c r="H80" s="46">
        <f t="shared" si="5"/>
        <v>10416.336910455</v>
      </c>
    </row>
    <row r="81" spans="1:9" ht="9.75" customHeight="1" x14ac:dyDescent="0.25">
      <c r="A81" s="20"/>
    </row>
    <row r="82" spans="1:9" x14ac:dyDescent="0.25">
      <c r="A82" s="117" t="s">
        <v>161</v>
      </c>
      <c r="B82" s="82" t="str">
        <f>IF(E6="Oui","Taux de majoration","Majoration impossible")</f>
        <v>Majoration impossible</v>
      </c>
      <c r="C82" s="41">
        <v>0.3</v>
      </c>
      <c r="D82" s="41">
        <v>0.3</v>
      </c>
      <c r="E82" s="41">
        <v>0.3</v>
      </c>
      <c r="F82" s="41">
        <v>0.3</v>
      </c>
      <c r="G82" s="41">
        <v>0.3</v>
      </c>
      <c r="H82" s="41">
        <v>0.3</v>
      </c>
    </row>
    <row r="83" spans="1:9" x14ac:dyDescent="0.25">
      <c r="A83" s="125"/>
      <c r="B83" s="82" t="str">
        <f>IF(E6="Oui","Produit de la majoration","Majoration impossible")</f>
        <v>Majoration impossible</v>
      </c>
      <c r="C83" s="47">
        <f>IF($E$6="Oui",C80*C82,0)</f>
        <v>0</v>
      </c>
      <c r="D83" s="47">
        <f t="shared" ref="D83:H83" si="6">IF($E$6="Oui",D80*D82,0)</f>
        <v>0</v>
      </c>
      <c r="E83" s="47">
        <f t="shared" si="6"/>
        <v>0</v>
      </c>
      <c r="F83" s="47">
        <f t="shared" si="6"/>
        <v>0</v>
      </c>
      <c r="G83" s="47">
        <f t="shared" si="6"/>
        <v>0</v>
      </c>
      <c r="H83" s="47">
        <f t="shared" si="6"/>
        <v>0</v>
      </c>
    </row>
    <row r="84" spans="1:9" x14ac:dyDescent="0.25">
      <c r="E84" s="6"/>
    </row>
    <row r="85" spans="1:9" x14ac:dyDescent="0.25">
      <c r="C85" s="82">
        <v>2026</v>
      </c>
      <c r="D85" s="82">
        <v>2027</v>
      </c>
      <c r="E85" s="82">
        <v>2028</v>
      </c>
      <c r="F85" s="82">
        <v>2029</v>
      </c>
      <c r="G85" s="82">
        <v>2030</v>
      </c>
      <c r="H85" s="82">
        <v>2031</v>
      </c>
    </row>
    <row r="86" spans="1:9" x14ac:dyDescent="0.25">
      <c r="A86" s="126" t="s">
        <v>153</v>
      </c>
      <c r="B86" s="126"/>
      <c r="C86" s="46">
        <f>B25</f>
        <v>250000</v>
      </c>
      <c r="D86" s="46">
        <f>IFERROR((((D63-C63)/C63)*C86)+C86,"Saisir étape 3")</f>
        <v>257000</v>
      </c>
      <c r="E86" s="46">
        <f t="shared" ref="E86:H86" si="7">IFERROR((((E63-D63)/D63)*D86)+D86,"Saisir étape 3")</f>
        <v>263869.08669640694</v>
      </c>
      <c r="F86" s="46">
        <f t="shared" si="7"/>
        <v>267827.12299685302</v>
      </c>
      <c r="G86" s="46">
        <f t="shared" si="7"/>
        <v>273573.61653821275</v>
      </c>
      <c r="H86" s="46">
        <f t="shared" si="7"/>
        <v>277677.22078628594</v>
      </c>
    </row>
    <row r="88" spans="1:9" x14ac:dyDescent="0.25">
      <c r="A88" s="115" t="s">
        <v>154</v>
      </c>
      <c r="B88" s="115"/>
      <c r="C88" s="48">
        <f>IFERROR((C65+C69+C73+C76+C80+C83+C86),"saisir évolution")</f>
        <v>1721815</v>
      </c>
      <c r="D88" s="48">
        <f t="shared" ref="D88:H88" si="8">IFERROR((D65+D69+D73+D76+D80+D83+D86),"saisir évolution")</f>
        <v>1896720.4464</v>
      </c>
      <c r="E88" s="48">
        <f t="shared" si="8"/>
        <v>1946383.942024407</v>
      </c>
      <c r="F88" s="48">
        <f t="shared" si="8"/>
        <v>1975579.7011547729</v>
      </c>
      <c r="G88" s="48">
        <f t="shared" si="8"/>
        <v>2016942.4833685011</v>
      </c>
      <c r="H88" s="48">
        <f t="shared" si="8"/>
        <v>2047196.6206190288</v>
      </c>
    </row>
    <row r="89" spans="1:9" x14ac:dyDescent="0.25">
      <c r="B89" s="50" t="s">
        <v>155</v>
      </c>
      <c r="C89" s="50"/>
      <c r="D89" s="51">
        <f>IFERROR((D88-C88),0)</f>
        <v>174905.44640000002</v>
      </c>
      <c r="E89" s="51">
        <f t="shared" ref="E89:H89" si="9">IFERROR((E88-D88),0)</f>
        <v>49663.495624406962</v>
      </c>
      <c r="F89" s="51">
        <f t="shared" si="9"/>
        <v>29195.759130365914</v>
      </c>
      <c r="G89" s="51">
        <f t="shared" si="9"/>
        <v>41362.782213728176</v>
      </c>
      <c r="H89" s="51">
        <f t="shared" si="9"/>
        <v>30254.13725052774</v>
      </c>
    </row>
    <row r="91" spans="1:9" ht="16.5" x14ac:dyDescent="0.3">
      <c r="A91" s="143" t="str">
        <f>UPPER("Vérification du respect des règles de lien et des plafonds")</f>
        <v>VÉRIFICATION DU RESPECT DES RÈGLES DE LIEN ET DES PLAFONDS</v>
      </c>
      <c r="B91" s="143"/>
      <c r="C91" s="143"/>
      <c r="D91" s="143"/>
      <c r="E91" s="143"/>
      <c r="F91" s="143"/>
      <c r="G91" s="143"/>
      <c r="H91" s="143"/>
      <c r="I91" s="143"/>
    </row>
    <row r="92" spans="1:9" hidden="1" x14ac:dyDescent="0.25">
      <c r="A92" s="121" t="s">
        <v>181</v>
      </c>
      <c r="B92" s="121"/>
      <c r="C92" s="121"/>
      <c r="D92" s="121"/>
      <c r="E92" s="121"/>
      <c r="F92" s="121"/>
      <c r="G92" s="121"/>
      <c r="H92" s="121"/>
    </row>
    <row r="93" spans="1:9" hidden="1" x14ac:dyDescent="0.25">
      <c r="A93" s="120" t="s">
        <v>118</v>
      </c>
      <c r="B93" s="120"/>
      <c r="C93" s="120"/>
      <c r="D93" s="30">
        <f>(D64-C64)/C64</f>
        <v>7.999999999999996E-2</v>
      </c>
      <c r="E93" s="30">
        <f t="shared" ref="E93:H93" si="10">(E64-D64)/D64</f>
        <v>0</v>
      </c>
      <c r="F93" s="30">
        <f t="shared" si="10"/>
        <v>0</v>
      </c>
      <c r="G93" s="30">
        <f t="shared" si="10"/>
        <v>0</v>
      </c>
      <c r="H93" s="30">
        <f t="shared" si="10"/>
        <v>0</v>
      </c>
    </row>
    <row r="94" spans="1:9" hidden="1" x14ac:dyDescent="0.25">
      <c r="A94" s="120" t="s">
        <v>160</v>
      </c>
      <c r="B94" s="120"/>
      <c r="C94" s="120"/>
      <c r="D94" s="30">
        <f>(D68-C68)/C68</f>
        <v>0.08</v>
      </c>
      <c r="E94" s="30">
        <f t="shared" ref="E94:H94" si="11">(E68-D68)/D68</f>
        <v>0</v>
      </c>
      <c r="F94" s="30">
        <f t="shared" si="11"/>
        <v>0</v>
      </c>
      <c r="G94" s="30">
        <f t="shared" si="11"/>
        <v>0</v>
      </c>
      <c r="H94" s="30">
        <f t="shared" si="11"/>
        <v>0</v>
      </c>
    </row>
    <row r="95" spans="1:9" hidden="1" x14ac:dyDescent="0.25">
      <c r="A95" s="120" t="s">
        <v>158</v>
      </c>
      <c r="B95" s="120"/>
      <c r="C95" s="120"/>
      <c r="D95" s="30">
        <f>(D72-C72)/C72</f>
        <v>8.0000000000000071E-2</v>
      </c>
      <c r="E95" s="30">
        <f t="shared" ref="E95:H95" si="12">(E72-D72)/D72</f>
        <v>0</v>
      </c>
      <c r="F95" s="30">
        <f t="shared" si="12"/>
        <v>0</v>
      </c>
      <c r="G95" s="30">
        <f t="shared" si="12"/>
        <v>0</v>
      </c>
      <c r="H95" s="30">
        <f t="shared" si="12"/>
        <v>0</v>
      </c>
    </row>
    <row r="96" spans="1:9" hidden="1" x14ac:dyDescent="0.25"/>
    <row r="97" spans="1:8" hidden="1" x14ac:dyDescent="0.25">
      <c r="A97" s="120" t="s">
        <v>182</v>
      </c>
      <c r="B97" s="120"/>
      <c r="C97" s="29">
        <f t="shared" ref="C97:H97" si="13">((C63*C64/100)+(C67*C68/100))/(C63+C67)</f>
        <v>0.44070996978851962</v>
      </c>
      <c r="D97" s="30">
        <f t="shared" si="13"/>
        <v>0.47596676737160126</v>
      </c>
      <c r="E97" s="30">
        <f t="shared" si="13"/>
        <v>0.47586092793812962</v>
      </c>
      <c r="F97" s="30">
        <f t="shared" si="13"/>
        <v>0.47586092793812962</v>
      </c>
      <c r="G97" s="30">
        <f t="shared" si="13"/>
        <v>0.4757594489677654</v>
      </c>
      <c r="H97" s="30">
        <f t="shared" si="13"/>
        <v>0.47575944896776545</v>
      </c>
    </row>
    <row r="98" spans="1:8" hidden="1" x14ac:dyDescent="0.25">
      <c r="A98" s="120" t="s">
        <v>183</v>
      </c>
      <c r="B98" s="120"/>
      <c r="C98" s="120"/>
      <c r="D98" s="30">
        <f>ROUND((D97-C97)/C97,1)</f>
        <v>0.1</v>
      </c>
      <c r="E98" s="30">
        <f t="shared" ref="E98:H98" si="14">ROUND((E97-D97)/D97,1)</f>
        <v>0</v>
      </c>
      <c r="F98" s="30">
        <f t="shared" si="14"/>
        <v>0</v>
      </c>
      <c r="G98" s="30">
        <f t="shared" si="14"/>
        <v>0</v>
      </c>
      <c r="H98" s="30">
        <f t="shared" si="14"/>
        <v>0</v>
      </c>
    </row>
    <row r="99" spans="1:8" x14ac:dyDescent="0.25">
      <c r="D99" s="13">
        <v>2027</v>
      </c>
      <c r="E99" s="13">
        <v>2028</v>
      </c>
      <c r="F99" s="13">
        <v>2029</v>
      </c>
      <c r="G99" s="13">
        <v>2030</v>
      </c>
      <c r="H99" s="13">
        <v>2031</v>
      </c>
    </row>
    <row r="100" spans="1:8" ht="190.5" customHeight="1" x14ac:dyDescent="0.25">
      <c r="A100" s="122" t="s">
        <v>184</v>
      </c>
      <c r="B100" s="122"/>
      <c r="C100" s="122"/>
      <c r="D100" s="39" t="str">
        <f>IF(AND(D93&lt;0, D94&gt;D93),
    IF(D94=0,
        "Ne respecte pas la règle de lien de base (TFPB baisse mais TFPNB reste stable). Mais la dérogation 'diminution sans lien' pourait s'appliquer sur le TFPB",
        "NON - Baisse insuffisante sur le TFPNB (ne peut diminuer moins que le TFPB)"
    ),
    IF(AND(D93&gt;=0, D94&lt;0),
        "Ne respecte pas la règle de lien, mais la baisse peut être autorisé via la dérogation 'diminution sans lien' (si le taux de TFNB reste au-dessus de la moyenne nationale)",
        IF(D94&gt;D93,
            "NON - Hausse trop forte sur le TFPNB (ne peut augmenter plus que le TFPB)",
            "Conforme"
        )
    )
)</f>
        <v>Conforme</v>
      </c>
      <c r="E100" s="39" t="str">
        <f t="shared" ref="E100:H100" si="15">IF(AND(E93&lt;0, E94&gt;E93),
    IF(E94=0,
        "Ne respecte pas la règle de lien de base (TFPB baisse mais TFPNB reste stable). Mais la dérogation 'diminution sans lien' pourait s'appliquer sur le TFPB",
        "NON - Baisse insuffisante sur le TFPNB (ne peut diminuer moins que le TFPB)"
    ),
    IF(AND(E93&gt;=0, E94&lt;0),
        "Ne respecte pas la règle de lien, mais la baisse peut être autorisé via la dérogation 'diminution sans lien' (si le taux de TFNB reste au-dessus de la moyenne nationale)",
        IF(E94&gt;E93,
            "NON - Hausse trop forte sur le TFPNB (ne peut augmenter plus que le TFPB)",
            "Conforme"
        )
    )
)</f>
        <v>Conforme</v>
      </c>
      <c r="F100" s="39" t="str">
        <f t="shared" si="15"/>
        <v>Conforme</v>
      </c>
      <c r="G100" s="39" t="str">
        <f t="shared" si="15"/>
        <v>Conforme</v>
      </c>
      <c r="H100" s="39" t="str">
        <f t="shared" si="15"/>
        <v>Conforme</v>
      </c>
    </row>
    <row r="101" spans="1:8" x14ac:dyDescent="0.25">
      <c r="D101" s="31"/>
      <c r="E101" s="32"/>
      <c r="F101" s="32" t="str">
        <f>IF(F94&gt;F93,IF(F94&gt;F98,"Le taux de TFPNB ne semble pas conforme : il ne peut pas augmenter plus ou diminuer moins que le taux de TFPB (règle de lien)",""),"")</f>
        <v/>
      </c>
      <c r="G101" s="32" t="str">
        <f>IF(G94&gt;G93,IF(G94&gt;G98,"Le taux de TFPNB ne semble pas conforme : il ne peut pas augmenter plus ou diminuer moins que le taux de TFPB (règle de lien)",""),"")</f>
        <v/>
      </c>
      <c r="H101" s="32" t="str">
        <f>IF(H94&gt;H93,IF(H94&gt;H98,"Le taux de TFPNB ne semble pas conforme : il ne peut pas augmenter plus ou diminuer moins que le taux de TFPB (règle de lien)",""),"")</f>
        <v/>
      </c>
    </row>
    <row r="102" spans="1:8" ht="3" customHeight="1" x14ac:dyDescent="0.25">
      <c r="D102" s="31"/>
      <c r="E102" s="32"/>
      <c r="F102" s="32"/>
      <c r="G102" s="32"/>
      <c r="H102" s="32"/>
    </row>
    <row r="103" spans="1:8" ht="186.75" customHeight="1" x14ac:dyDescent="0.25">
      <c r="A103" s="122" t="s">
        <v>185</v>
      </c>
      <c r="B103" s="122"/>
      <c r="C103" s="122"/>
      <c r="D103" s="39" t="str">
        <f t="shared" ref="D103:G103" si="16">IF(AND(D95&gt;0,D95&gt;D93,D95&gt;D98),
"NON - Hausse trop forte sur THRS (dépasse les deux références : évolution de TFPB ou du taux moyen pondéré TFPB+TFPNB)",
IF(AND(D93&lt;0,D95=0),
"Ne respecte pas la règle de lien (TFPB baisse alors que THRS reste stable), mais baisse possible via la dérogation 'diminution sans lien' pourrait s'appliquer sur le TFPB",
IF(AND(OR(D93&lt;0,D98&lt;0),D95&gt;MIN(D93,D98)),
"NON - Baisse insuffisante sur THRS (les références baissent mais la THRS diminue moins)",
"Conforme"
)
)
)</f>
        <v>Conforme</v>
      </c>
      <c r="E103" s="39" t="str">
        <f t="shared" si="16"/>
        <v>Conforme</v>
      </c>
      <c r="F103" s="39" t="str">
        <f t="shared" si="16"/>
        <v>Conforme</v>
      </c>
      <c r="G103" s="39" t="str">
        <f t="shared" si="16"/>
        <v>Conforme</v>
      </c>
      <c r="H103" s="39" t="str">
        <f>IF(AND(H95&gt;0,H95&gt;H93,H95&gt;H98),
"NON - Hausse trop forte sur THRS (dépasse les deux références : évolution de TFPB ou du taux moyen pondéré TFPB+TFPNB)",
IF(AND(H93&lt;0,H95=0),
"Ne respecte pas la règle de lien (TFPB baisse alors que THRS reste stable), mais baisse possible via la dérogation 'diminution sans lien' pourrait s'appliquer sur le TFPB",
IF(AND(OR(H93&lt;0,H98&lt;0),H95&gt;MIN(H93,H98)),
"NON - Baisse insuffisante sur THRS (les références baissent mais la THRS diminue moins)",
"Conforme"
)
)
)</f>
        <v>Conforme</v>
      </c>
    </row>
    <row r="104" spans="1:8" ht="12.75" customHeight="1" x14ac:dyDescent="0.25">
      <c r="D104" s="22"/>
    </row>
    <row r="105" spans="1:8" ht="30.75" customHeight="1" x14ac:dyDescent="0.25">
      <c r="A105" s="123" t="s">
        <v>226</v>
      </c>
      <c r="B105" s="123"/>
      <c r="C105" s="123"/>
      <c r="D105" s="111" t="str">
        <f>IF(C16&lt;B7,"Il est possible de recourir à la majoration spéciale de (THRS) de  " &amp;SUMIF('Taux départementaux'!A2:A102,B5,'Taux départementaux'!J2:J102) &amp;" points de taux par an , jusqu'à atteindre un taux de " &amp;B7 &amp;" sans devoir bouger les taux des autres taxes.","Aucune majoration possible")</f>
        <v>Aucune majoration possible</v>
      </c>
      <c r="E105" s="112"/>
      <c r="F105" s="112"/>
      <c r="G105" s="112"/>
      <c r="H105" s="113"/>
    </row>
    <row r="106" spans="1:8" ht="12" customHeight="1" x14ac:dyDescent="0.25">
      <c r="D106" s="22"/>
    </row>
    <row r="107" spans="1:8" ht="20.25" customHeight="1" x14ac:dyDescent="0.25">
      <c r="A107" s="134" t="s">
        <v>197</v>
      </c>
      <c r="B107" s="109" t="s">
        <v>191</v>
      </c>
      <c r="C107" s="110"/>
      <c r="D107" s="111" t="str">
        <f>IF(AND(D64&lt;$D$14,E64&lt;$D$14,F64&lt;$D$14,G64&lt;$D$14,H64&lt;$D$14),"Conforme (pas de dépassement du taux plafonds)","Le taux plafonds de '" &amp;D14 &amp;"' est atteint sur une ou plusieurs années : il y a un risque de non conformité du taux")</f>
        <v>Conforme (pas de dépassement du taux plafonds)</v>
      </c>
      <c r="E107" s="112"/>
      <c r="F107" s="112"/>
      <c r="G107" s="112"/>
      <c r="H107" s="113"/>
    </row>
    <row r="108" spans="1:8" ht="17.25" customHeight="1" x14ac:dyDescent="0.25">
      <c r="A108" s="135"/>
      <c r="B108" s="109" t="s">
        <v>192</v>
      </c>
      <c r="C108" s="110"/>
      <c r="D108" s="111" t="str">
        <f>IF(AND(D68&lt;$D$15,E68&lt;$D$15,F68&lt;$D$15,G68&lt;$D$15,H68&lt;$D$15),"Conforme (pas de dépassement du taux plafonds)","Le taux plafonds de '" &amp;D15 &amp;"' est atteint sur une ou plusieurs années : il y a un risque de non conformité du taux")</f>
        <v>Conforme (pas de dépassement du taux plafonds)</v>
      </c>
      <c r="E108" s="112"/>
      <c r="F108" s="112"/>
      <c r="G108" s="112"/>
      <c r="H108" s="113"/>
    </row>
    <row r="109" spans="1:8" ht="17.25" x14ac:dyDescent="0.25">
      <c r="A109" s="136"/>
      <c r="B109" s="109" t="s">
        <v>193</v>
      </c>
      <c r="C109" s="110"/>
      <c r="D109" s="111" t="str">
        <f>IF(AND(D72&lt;$D$16,E72&lt;$D$16,F72&lt;$D$16,G72&lt;$D$16,H72&lt;$D$16),"Conforme (pas de dépassement du taux plafonds)","Le taux plafonds de '" &amp;D16 &amp;"' est atteint sur une ou plusieurs années : il y a un risque de non conformité du taux")</f>
        <v>Conforme (pas de dépassement du taux plafonds)</v>
      </c>
      <c r="E109" s="112"/>
      <c r="F109" s="112"/>
      <c r="G109" s="112"/>
      <c r="H109" s="113"/>
    </row>
    <row r="110" spans="1:8" x14ac:dyDescent="0.25">
      <c r="D110" s="22"/>
    </row>
    <row r="111" spans="1:8" x14ac:dyDescent="0.25">
      <c r="D111" s="22"/>
    </row>
    <row r="112" spans="1:8" x14ac:dyDescent="0.25">
      <c r="D112" s="22"/>
    </row>
    <row r="113" spans="4:4" x14ac:dyDescent="0.25">
      <c r="D113" s="22"/>
    </row>
    <row r="114" spans="4:4" x14ac:dyDescent="0.25">
      <c r="D114" s="22"/>
    </row>
    <row r="115" spans="4:4" x14ac:dyDescent="0.25">
      <c r="D115" s="22"/>
    </row>
    <row r="116" spans="4:4" x14ac:dyDescent="0.25">
      <c r="D116" s="22"/>
    </row>
    <row r="117" spans="4:4" x14ac:dyDescent="0.25">
      <c r="D117" s="22"/>
    </row>
    <row r="121" spans="4:4" ht="20.25" x14ac:dyDescent="0.35">
      <c r="D121" s="37"/>
    </row>
    <row r="122" spans="4:4" ht="20.25" x14ac:dyDescent="0.35">
      <c r="D122" s="37"/>
    </row>
  </sheetData>
  <sheetProtection sheet="1" objects="1" scenarios="1"/>
  <mergeCells count="77">
    <mergeCell ref="J16:L16"/>
    <mergeCell ref="A10:G10"/>
    <mergeCell ref="A11:G11"/>
    <mergeCell ref="A18:I18"/>
    <mergeCell ref="A95:C95"/>
    <mergeCell ref="A35:B36"/>
    <mergeCell ref="A42:B42"/>
    <mergeCell ref="A38:B38"/>
    <mergeCell ref="A58:C58"/>
    <mergeCell ref="A91:I91"/>
    <mergeCell ref="A45:I45"/>
    <mergeCell ref="A49:B50"/>
    <mergeCell ref="A61:I61"/>
    <mergeCell ref="A93:C93"/>
    <mergeCell ref="B22:D22"/>
    <mergeCell ref="B23:D23"/>
    <mergeCell ref="B5:C5"/>
    <mergeCell ref="B4:C4"/>
    <mergeCell ref="E28:F28"/>
    <mergeCell ref="E29:F29"/>
    <mergeCell ref="E30:F30"/>
    <mergeCell ref="A6:D6"/>
    <mergeCell ref="E13:F13"/>
    <mergeCell ref="E14:F14"/>
    <mergeCell ref="E15:F15"/>
    <mergeCell ref="E16:F16"/>
    <mergeCell ref="D17:F17"/>
    <mergeCell ref="B19:D19"/>
    <mergeCell ref="A12:I12"/>
    <mergeCell ref="A27:I27"/>
    <mergeCell ref="B20:D20"/>
    <mergeCell ref="B21:D21"/>
    <mergeCell ref="B28:D28"/>
    <mergeCell ref="C39:C42"/>
    <mergeCell ref="A53:B53"/>
    <mergeCell ref="B29:D29"/>
    <mergeCell ref="B30:D30"/>
    <mergeCell ref="B31:D31"/>
    <mergeCell ref="A34:I34"/>
    <mergeCell ref="E31:F31"/>
    <mergeCell ref="E32:F32"/>
    <mergeCell ref="B32:D32"/>
    <mergeCell ref="A39:B39"/>
    <mergeCell ref="A40:B40"/>
    <mergeCell ref="A41:B41"/>
    <mergeCell ref="G28:H28"/>
    <mergeCell ref="G29:H29"/>
    <mergeCell ref="G30:H30"/>
    <mergeCell ref="G31:H31"/>
    <mergeCell ref="G32:H32"/>
    <mergeCell ref="B109:C109"/>
    <mergeCell ref="D109:H109"/>
    <mergeCell ref="A94:C94"/>
    <mergeCell ref="A82:A83"/>
    <mergeCell ref="A86:B86"/>
    <mergeCell ref="A57:B57"/>
    <mergeCell ref="A63:A65"/>
    <mergeCell ref="A67:A69"/>
    <mergeCell ref="A54:B54"/>
    <mergeCell ref="A55:B55"/>
    <mergeCell ref="D105:H105"/>
    <mergeCell ref="A107:A109"/>
    <mergeCell ref="A43:H43"/>
    <mergeCell ref="B107:C107"/>
    <mergeCell ref="B108:C108"/>
    <mergeCell ref="D107:H107"/>
    <mergeCell ref="D108:H108"/>
    <mergeCell ref="A52:B52"/>
    <mergeCell ref="A88:B88"/>
    <mergeCell ref="A71:A73"/>
    <mergeCell ref="A78:A80"/>
    <mergeCell ref="A98:C98"/>
    <mergeCell ref="A92:H92"/>
    <mergeCell ref="A100:C100"/>
    <mergeCell ref="A103:C103"/>
    <mergeCell ref="A105:C105"/>
    <mergeCell ref="A97:B97"/>
  </mergeCells>
  <dataValidations count="8">
    <dataValidation type="list" allowBlank="1" showInputMessage="1" showErrorMessage="1" sqref="E6" xr:uid="{242D5C1A-07A3-4E4F-B23F-2B6D1D5A47A5}">
      <formula1>$D$7:$E$7</formula1>
    </dataValidation>
    <dataValidation type="list" allowBlank="1" showInputMessage="1" showErrorMessage="1" sqref="B46" xr:uid="{95F65192-7D0F-49CB-9F1D-3163759E7F17}">
      <formula1>$A$47:$B$47</formula1>
    </dataValidation>
    <dataValidation type="decimal" errorStyle="warning" allowBlank="1" showInputMessage="1" showErrorMessage="1" errorTitle="Saisie non conforme " error="La majoration de THRS ne peut dépasser 60% (elle ne concerne que les Communes en zone tendue)." sqref="C75:H75" xr:uid="{9A7BEFEB-C1B1-4F66-A564-73F320635C51}">
      <formula1>0</formula1>
      <formula2>0.6</formula2>
    </dataValidation>
    <dataValidation type="decimal" errorStyle="warning" allowBlank="1" showInputMessage="1" showErrorMessage="1" errorTitle="Saisie non conforme " error="La majoration de TVLH ne peut dépasser 30% (elle ne concerne que les Communes en zone tendue)." sqref="C82:H82" xr:uid="{0742F992-1335-4FDD-AB08-1D75BD630C6A}">
      <formula1>0</formula1>
      <formula2>0.3</formula2>
    </dataValidation>
    <dataValidation type="decimal" errorStyle="warning" allowBlank="1" showInputMessage="1" showErrorMessage="1" errorTitle="Dépassement du taux plafonds " error="Le taux de la TVLH ne peut dépasser 50% en zone non-tendue et 3_x000a_4% en zone tendue" sqref="D57:H57" xr:uid="{FFEB24B9-EC17-4FE6-AFC6-46CBAE92E0EC}">
      <formula1>0</formula1>
      <formula2>50</formula2>
    </dataValidation>
    <dataValidation type="decimal" allowBlank="1" showInputMessage="1" showErrorMessage="1" sqref="C79:H79" xr:uid="{518ACA52-2825-4393-8060-D4F3E5144CEA}">
      <formula1>0</formula1>
      <formula2>50</formula2>
    </dataValidation>
    <dataValidation type="decimal" errorStyle="information" allowBlank="1" showErrorMessage="1" errorTitle="Attention Taux plafonds" sqref="C64" xr:uid="{4A15FBF4-610E-4885-852B-02D324F2C90F}">
      <formula1>0</formula1>
      <formula2>D14</formula2>
    </dataValidation>
    <dataValidation type="decimal" errorStyle="warning" allowBlank="1" showInputMessage="1" showErrorMessage="1" errorTitle="Format du taux" error="Le taux doit être saisi en format n&quot;ombre décimal&quot; exemple : &quot;45,55&quot;" sqref="C14:C17" xr:uid="{7D243C9A-13FA-40B8-89CB-9379DCA7163C}">
      <formula1>0</formula1>
      <formula2>200</formula2>
    </dataValidation>
  </dataValidations>
  <hyperlinks>
    <hyperlink ref="H21" r:id="rId1" display="https://www.legifrance.gouv.fr/codes/article_lc/LEGIARTI000031599676/2026-05-28" xr:uid="{BDBB2C77-2C63-4E97-848C-D07A3B18D2D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6ECE2D7-93CD-4598-951F-41E4421ED662}">
          <x14:formula1>
            <xm:f>'Taux départementaux'!$A$2:$A$102</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DE0D-EFD5-4F2C-8A09-8BB1DE5A9078}">
  <sheetPr>
    <pageSetUpPr fitToPage="1"/>
  </sheetPr>
  <dimension ref="A2:I17"/>
  <sheetViews>
    <sheetView workbookViewId="0">
      <selection activeCell="A3" sqref="A3:C3"/>
    </sheetView>
  </sheetViews>
  <sheetFormatPr baseColWidth="10" defaultRowHeight="14.25" x14ac:dyDescent="0.25"/>
  <cols>
    <col min="1" max="1" width="49.42578125" style="5" customWidth="1"/>
    <col min="2" max="7" width="11.42578125" style="5"/>
    <col min="8" max="8" width="21.5703125" style="5" customWidth="1"/>
    <col min="9" max="16384" width="11.42578125" style="5"/>
  </cols>
  <sheetData>
    <row r="2" spans="1:9" ht="16.5" x14ac:dyDescent="0.3">
      <c r="A2" s="143" t="str">
        <f>UPPER("Récapitulatif de l'évolution des produits")</f>
        <v>RÉCAPITULATIF DE L'ÉVOLUTION DES PRODUITS</v>
      </c>
      <c r="B2" s="143"/>
      <c r="C2" s="143"/>
      <c r="D2" s="143"/>
      <c r="E2" s="143"/>
      <c r="F2" s="143"/>
      <c r="G2" s="143"/>
      <c r="H2" s="143"/>
      <c r="I2" s="143"/>
    </row>
    <row r="3" spans="1:9" ht="15.75" customHeight="1" thickBot="1" x14ac:dyDescent="0.3">
      <c r="A3" s="177" t="str">
        <f>"Nom de la Commune : " &amp;'1_Simulation produit communal'!B4</f>
        <v>Nom de la Commune : BelleCommune (exemple)</v>
      </c>
      <c r="B3" s="177"/>
      <c r="C3" s="177"/>
    </row>
    <row r="4" spans="1:9" ht="30" customHeight="1" thickBot="1" x14ac:dyDescent="0.3">
      <c r="A4" s="61" t="str">
        <f>UPPER("Synthèse/résultat")</f>
        <v>SYNTHÈSE/RÉSULTAT</v>
      </c>
      <c r="B4" s="62">
        <v>2026</v>
      </c>
      <c r="C4" s="62">
        <v>2027</v>
      </c>
      <c r="D4" s="62">
        <v>2028</v>
      </c>
      <c r="E4" s="62">
        <v>2029</v>
      </c>
      <c r="F4" s="62">
        <v>2030</v>
      </c>
      <c r="G4" s="62">
        <v>2031</v>
      </c>
      <c r="H4" s="54" t="s">
        <v>227</v>
      </c>
    </row>
    <row r="5" spans="1:9" x14ac:dyDescent="0.25">
      <c r="A5" s="56" t="s">
        <v>118</v>
      </c>
      <c r="B5" s="23">
        <f>'1_Simulation produit communal'!C65</f>
        <v>1338750</v>
      </c>
      <c r="C5" s="23">
        <f>'1_Simulation produit communal'!D65</f>
        <v>1486333.8</v>
      </c>
      <c r="D5" s="23">
        <f>'1_Simulation produit communal'!E65</f>
        <v>1526060.476</v>
      </c>
      <c r="E5" s="23">
        <f>'1_Simulation produit communal'!F65</f>
        <v>1548951.3831399998</v>
      </c>
      <c r="F5" s="23">
        <f>'1_Simulation produit communal'!G65</f>
        <v>1582185.6538870996</v>
      </c>
      <c r="G5" s="23">
        <f>'1_Simulation produit communal'!H65</f>
        <v>1605918.4386954061</v>
      </c>
      <c r="H5" s="23">
        <f>G5-B5</f>
        <v>267168.43869540608</v>
      </c>
    </row>
    <row r="6" spans="1:9" ht="15" thickBot="1" x14ac:dyDescent="0.3">
      <c r="A6" s="84" t="s">
        <v>164</v>
      </c>
      <c r="B6" s="92"/>
      <c r="C6" s="93">
        <f>IFERROR(((C5-B5)/B5),0)</f>
        <v>0.11024000000000003</v>
      </c>
      <c r="D6" s="93">
        <f t="shared" ref="D6:G6" si="0">IFERROR(((D5-C5)/C5),0)</f>
        <v>2.6727963799248848E-2</v>
      </c>
      <c r="E6" s="93">
        <f t="shared" si="0"/>
        <v>1.4999999999999864E-2</v>
      </c>
      <c r="F6" s="93">
        <f t="shared" si="0"/>
        <v>2.1455980548419792E-2</v>
      </c>
      <c r="G6" s="93">
        <f t="shared" si="0"/>
        <v>1.4999999999999998E-2</v>
      </c>
      <c r="H6" s="93">
        <f>H5/B5</f>
        <v>0.19956559379675523</v>
      </c>
    </row>
    <row r="7" spans="1:9" x14ac:dyDescent="0.25">
      <c r="A7" s="57" t="s">
        <v>160</v>
      </c>
      <c r="B7" s="23">
        <f>'1_Simulation produit communal'!C69</f>
        <v>120000</v>
      </c>
      <c r="C7" s="23">
        <f>'1_Simulation produit communal'!D69</f>
        <v>133228.79999999999</v>
      </c>
      <c r="D7" s="23">
        <f>'1_Simulation produit communal'!E69</f>
        <v>135893.37599999999</v>
      </c>
      <c r="E7" s="23">
        <f>'1_Simulation produit communal'!F69</f>
        <v>137931.77664</v>
      </c>
      <c r="F7" s="23">
        <f>'1_Simulation produit communal'!G69</f>
        <v>140000.75328960002</v>
      </c>
      <c r="G7" s="23">
        <f>'1_Simulation produit communal'!H69</f>
        <v>142100.764588944</v>
      </c>
      <c r="H7" s="23">
        <f>G7-B7</f>
        <v>22100.764588944003</v>
      </c>
    </row>
    <row r="8" spans="1:9" ht="15.75" customHeight="1" thickBot="1" x14ac:dyDescent="0.3">
      <c r="A8" s="85" t="s">
        <v>164</v>
      </c>
      <c r="B8" s="92"/>
      <c r="C8" s="93">
        <f>IFERROR((C7-B7)/B7,0)</f>
        <v>0.11023999999999991</v>
      </c>
      <c r="D8" s="93">
        <f t="shared" ref="D8:G8" si="1">IFERROR((D7-C7)/C7,0)</f>
        <v>2.0000000000000007E-2</v>
      </c>
      <c r="E8" s="93">
        <f t="shared" si="1"/>
        <v>1.5000000000000053E-2</v>
      </c>
      <c r="F8" s="93">
        <f t="shared" si="1"/>
        <v>1.5000000000000166E-2</v>
      </c>
      <c r="G8" s="93">
        <f t="shared" si="1"/>
        <v>1.499999999999988E-2</v>
      </c>
      <c r="H8" s="93">
        <f>H7/B7</f>
        <v>0.18417303824120002</v>
      </c>
    </row>
    <row r="9" spans="1:9" ht="15" customHeight="1" x14ac:dyDescent="0.25">
      <c r="A9" s="58" t="s">
        <v>158</v>
      </c>
      <c r="B9" s="23">
        <f>'1_Simulation produit communal'!C73+'1_Simulation produit communal'!C76</f>
        <v>9360</v>
      </c>
      <c r="C9" s="23">
        <f>'1_Simulation produit communal'!D73+'1_Simulation produit communal'!D76</f>
        <v>10391.8464</v>
      </c>
      <c r="D9" s="23">
        <f>'1_Simulation produit communal'!E73+'1_Simulation produit communal'!E76</f>
        <v>10599.683328000003</v>
      </c>
      <c r="E9" s="23">
        <f>'1_Simulation produit communal'!F73+'1_Simulation produit communal'!F76</f>
        <v>10758.67857792</v>
      </c>
      <c r="F9" s="23">
        <f>'1_Simulation produit communal'!G73+'1_Simulation produit communal'!G76</f>
        <v>10920.058756588802</v>
      </c>
      <c r="G9" s="23">
        <f>'1_Simulation produit communal'!H73+'1_Simulation produit communal'!H76</f>
        <v>11083.859637937634</v>
      </c>
      <c r="H9" s="23">
        <f>G9-B9</f>
        <v>1723.859637937634</v>
      </c>
    </row>
    <row r="10" spans="1:9" ht="15.75" customHeight="1" thickBot="1" x14ac:dyDescent="0.3">
      <c r="A10" s="85" t="s">
        <v>164</v>
      </c>
      <c r="B10" s="92"/>
      <c r="C10" s="93">
        <f>IFERROR((C9-B9)/B9,0)</f>
        <v>0.11024000000000003</v>
      </c>
      <c r="D10" s="93">
        <f t="shared" ref="D10:G10" si="2">IFERROR((D9-C9)/C9,0)</f>
        <v>2.0000000000000233E-2</v>
      </c>
      <c r="E10" s="93">
        <f t="shared" si="2"/>
        <v>1.4999999999999727E-2</v>
      </c>
      <c r="F10" s="93">
        <f t="shared" si="2"/>
        <v>1.5000000000000169E-2</v>
      </c>
      <c r="G10" s="93">
        <f t="shared" si="2"/>
        <v>1.5000000000000022E-2</v>
      </c>
      <c r="H10" s="93">
        <f>H9/B9</f>
        <v>0.18417303824120021</v>
      </c>
    </row>
    <row r="11" spans="1:9" x14ac:dyDescent="0.25">
      <c r="A11" s="57" t="s">
        <v>161</v>
      </c>
      <c r="B11" s="23">
        <f>'1_Simulation produit communal'!C80+'1_Simulation produit communal'!C83</f>
        <v>3705</v>
      </c>
      <c r="C11" s="23">
        <f>'1_Simulation produit communal'!D80+'1_Simulation produit communal'!D83</f>
        <v>9766</v>
      </c>
      <c r="D11" s="23">
        <f>'1_Simulation produit communal'!E80+'1_Simulation produit communal'!E83</f>
        <v>9961.32</v>
      </c>
      <c r="E11" s="23">
        <f>'1_Simulation produit communal'!F80+'1_Simulation produit communal'!F83</f>
        <v>10110.739799999999</v>
      </c>
      <c r="F11" s="23">
        <f>'1_Simulation produit communal'!G80+'1_Simulation produit communal'!G83</f>
        <v>10262.400897</v>
      </c>
      <c r="G11" s="23">
        <f>'1_Simulation produit communal'!H80+'1_Simulation produit communal'!H83</f>
        <v>10416.336910455</v>
      </c>
      <c r="H11" s="23">
        <f>G11-B11</f>
        <v>6711.3369104550002</v>
      </c>
    </row>
    <row r="12" spans="1:9" ht="15" thickBot="1" x14ac:dyDescent="0.3">
      <c r="A12" s="85" t="s">
        <v>164</v>
      </c>
      <c r="B12" s="92"/>
      <c r="C12" s="93">
        <f>IFERROR((C11-B11)/B11,0)</f>
        <v>1.6358974358974359</v>
      </c>
      <c r="D12" s="93">
        <f t="shared" ref="D12:G12" si="3">IFERROR((D11-C11)/C11,0)</f>
        <v>1.9999999999999969E-2</v>
      </c>
      <c r="E12" s="93">
        <f t="shared" si="3"/>
        <v>1.4999999999999966E-2</v>
      </c>
      <c r="F12" s="93">
        <f t="shared" si="3"/>
        <v>1.5000000000000017E-2</v>
      </c>
      <c r="G12" s="93">
        <f t="shared" si="3"/>
        <v>1.5000000000000064E-2</v>
      </c>
      <c r="H12" s="93">
        <f>H11/B11</f>
        <v>1.8114269663846154</v>
      </c>
    </row>
    <row r="13" spans="1:9" x14ac:dyDescent="0.25">
      <c r="A13" s="57" t="s">
        <v>200</v>
      </c>
      <c r="B13" s="23">
        <f>'1_Simulation produit communal'!C86</f>
        <v>250000</v>
      </c>
      <c r="C13" s="23">
        <f>'1_Simulation produit communal'!D86</f>
        <v>257000</v>
      </c>
      <c r="D13" s="23">
        <f>'1_Simulation produit communal'!E86</f>
        <v>263869.08669640694</v>
      </c>
      <c r="E13" s="23">
        <f>'1_Simulation produit communal'!F86</f>
        <v>267827.12299685302</v>
      </c>
      <c r="F13" s="23">
        <f>'1_Simulation produit communal'!G86</f>
        <v>273573.61653821275</v>
      </c>
      <c r="G13" s="23">
        <f>'1_Simulation produit communal'!H86</f>
        <v>277677.22078628594</v>
      </c>
      <c r="H13" s="23">
        <f>G13-B13</f>
        <v>27677.220786285936</v>
      </c>
    </row>
    <row r="14" spans="1:9" ht="15" thickBot="1" x14ac:dyDescent="0.3">
      <c r="A14" s="85" t="s">
        <v>164</v>
      </c>
      <c r="B14" s="92"/>
      <c r="C14" s="93">
        <f>IFERROR((C13-B13)/B13,0)</f>
        <v>2.8000000000000001E-2</v>
      </c>
      <c r="D14" s="93">
        <f t="shared" ref="D14" si="4">IFERROR((D13-C13)/C13,0)</f>
        <v>2.6727963799248803E-2</v>
      </c>
      <c r="E14" s="93">
        <f t="shared" ref="E14" si="5">IFERROR((E13-D13)/D13,0)</f>
        <v>1.4999999999999914E-2</v>
      </c>
      <c r="F14" s="93">
        <f t="shared" ref="F14" si="6">IFERROR((F13-E13)/E13,0)</f>
        <v>2.145598054841984E-2</v>
      </c>
      <c r="G14" s="93">
        <f t="shared" ref="G14" si="7">IFERROR((G13-F13)/F13,0)</f>
        <v>1.4999999999999977E-2</v>
      </c>
      <c r="H14" s="93">
        <f>H13/B13</f>
        <v>0.11070888314514374</v>
      </c>
    </row>
    <row r="15" spans="1:9" x14ac:dyDescent="0.25">
      <c r="A15" s="59" t="s">
        <v>163</v>
      </c>
      <c r="B15" s="52">
        <f>SUM(B5:B13)</f>
        <v>1721815</v>
      </c>
      <c r="C15" s="52">
        <f>C5+C7+C9+C11+C13</f>
        <v>1896720.4464</v>
      </c>
      <c r="D15" s="52">
        <f t="shared" ref="D15:G15" si="8">D5+D7+D9+D11+D13</f>
        <v>1946383.942024407</v>
      </c>
      <c r="E15" s="52">
        <f t="shared" si="8"/>
        <v>1975579.7011547729</v>
      </c>
      <c r="F15" s="52">
        <f t="shared" si="8"/>
        <v>2016942.4833685011</v>
      </c>
      <c r="G15" s="52">
        <f t="shared" si="8"/>
        <v>2047196.6206190288</v>
      </c>
      <c r="H15" s="55">
        <f>G15-B15</f>
        <v>325381.62061902881</v>
      </c>
    </row>
    <row r="16" spans="1:9" x14ac:dyDescent="0.25">
      <c r="A16" s="60" t="s">
        <v>187</v>
      </c>
      <c r="B16" s="53"/>
      <c r="C16" s="53">
        <f>C15-B15</f>
        <v>174905.44640000002</v>
      </c>
      <c r="D16" s="53">
        <f t="shared" ref="D16:G16" si="9">D15-C15</f>
        <v>49663.495624406962</v>
      </c>
      <c r="E16" s="53">
        <f t="shared" si="9"/>
        <v>29195.759130365914</v>
      </c>
      <c r="F16" s="53">
        <f t="shared" si="9"/>
        <v>41362.782213728176</v>
      </c>
      <c r="G16" s="53">
        <f t="shared" si="9"/>
        <v>30254.13725052774</v>
      </c>
      <c r="H16" s="175">
        <f>H15/B15</f>
        <v>0.18897594725277037</v>
      </c>
    </row>
    <row r="17" spans="1:8" s="50" customFormat="1" ht="15.75" customHeight="1" thickBot="1" x14ac:dyDescent="0.3">
      <c r="A17" s="85" t="s">
        <v>186</v>
      </c>
      <c r="B17" s="92"/>
      <c r="C17" s="93">
        <f>IFERROR((C15-B15)/B15,0)</f>
        <v>0.10158202036804187</v>
      </c>
      <c r="D17" s="93">
        <f t="shared" ref="D17:G17" si="10">IFERROR((D15-C15)/C15,0)</f>
        <v>2.6183877396729137E-2</v>
      </c>
      <c r="E17" s="93">
        <f t="shared" si="10"/>
        <v>1.4999999999999902E-2</v>
      </c>
      <c r="F17" s="93">
        <f t="shared" si="10"/>
        <v>2.0937035438028977E-2</v>
      </c>
      <c r="G17" s="93">
        <f t="shared" si="10"/>
        <v>1.500000000000011E-2</v>
      </c>
      <c r="H17" s="176"/>
    </row>
  </sheetData>
  <sheetProtection sheet="1" objects="1" scenarios="1"/>
  <mergeCells count="3">
    <mergeCell ref="A2:I2"/>
    <mergeCell ref="H16:H17"/>
    <mergeCell ref="A3:C3"/>
  </mergeCells>
  <pageMargins left="0.25" right="0.25"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BE82D-5330-4961-9C5E-99FDF2964E94}">
  <dimension ref="A1:H52"/>
  <sheetViews>
    <sheetView workbookViewId="0">
      <selection activeCell="D16" sqref="D16:G16"/>
    </sheetView>
  </sheetViews>
  <sheetFormatPr baseColWidth="10" defaultRowHeight="14.25" x14ac:dyDescent="0.25"/>
  <cols>
    <col min="1" max="1" width="42" style="5" customWidth="1"/>
    <col min="2" max="2" width="13" style="5" customWidth="1"/>
    <col min="3" max="3" width="20.7109375" style="5" customWidth="1"/>
    <col min="4" max="4" width="19.42578125" style="5" customWidth="1"/>
    <col min="5" max="5" width="21.140625" style="5" customWidth="1"/>
    <col min="6" max="6" width="20.140625" style="5" customWidth="1"/>
    <col min="7" max="7" width="11.42578125" style="5"/>
    <col min="8" max="8" width="14.42578125" style="5" customWidth="1"/>
    <col min="9" max="16384" width="11.42578125" style="5"/>
  </cols>
  <sheetData>
    <row r="1" spans="1:8" ht="16.5" x14ac:dyDescent="0.3">
      <c r="A1" s="181" t="str">
        <f>UPPER("Simulation de l'impact sur le contribuable")</f>
        <v>SIMULATION DE L'IMPACT SUR LE CONTRIBUABLE</v>
      </c>
      <c r="B1" s="182"/>
      <c r="C1" s="182"/>
      <c r="D1" s="182"/>
      <c r="E1" s="182"/>
      <c r="F1" s="182"/>
      <c r="G1" s="182"/>
      <c r="H1" s="183"/>
    </row>
    <row r="3" spans="1:8" x14ac:dyDescent="0.25">
      <c r="A3" s="83" t="s">
        <v>219</v>
      </c>
      <c r="B3" s="68">
        <v>2025</v>
      </c>
      <c r="C3" s="5" t="s">
        <v>228</v>
      </c>
    </row>
    <row r="4" spans="1:8" hidden="1" x14ac:dyDescent="0.25">
      <c r="A4" s="5">
        <v>2025</v>
      </c>
      <c r="B4" s="5">
        <v>2026</v>
      </c>
    </row>
    <row r="6" spans="1:8" x14ac:dyDescent="0.25">
      <c r="A6" s="28" t="s">
        <v>170</v>
      </c>
      <c r="B6" s="28" t="s">
        <v>168</v>
      </c>
      <c r="C6" s="28" t="s">
        <v>169</v>
      </c>
      <c r="D6" s="5" t="s">
        <v>171</v>
      </c>
    </row>
    <row r="7" spans="1:8" x14ac:dyDescent="0.25">
      <c r="A7" s="101" t="s">
        <v>118</v>
      </c>
      <c r="B7" s="35">
        <v>42.5</v>
      </c>
      <c r="C7" s="63">
        <f>'1_Simulation produit communal'!C14</f>
        <v>42.5</v>
      </c>
    </row>
    <row r="8" spans="1:8" x14ac:dyDescent="0.25">
      <c r="A8" s="101" t="s">
        <v>160</v>
      </c>
      <c r="B8" s="35">
        <v>75</v>
      </c>
      <c r="C8" s="63">
        <f>'1_Simulation produit communal'!C15</f>
        <v>75</v>
      </c>
    </row>
    <row r="9" spans="1:8" ht="28.5" x14ac:dyDescent="0.25">
      <c r="A9" s="101" t="s">
        <v>158</v>
      </c>
      <c r="B9" s="35">
        <v>18</v>
      </c>
      <c r="C9" s="63">
        <f>'1_Simulation produit communal'!C16</f>
        <v>18</v>
      </c>
    </row>
    <row r="10" spans="1:8" ht="28.5" x14ac:dyDescent="0.25">
      <c r="A10" s="101" t="s">
        <v>161</v>
      </c>
      <c r="B10" s="35">
        <v>19.5</v>
      </c>
      <c r="C10" s="63">
        <f>'1_Simulation produit communal'!C17</f>
        <v>19.5</v>
      </c>
    </row>
    <row r="12" spans="1:8" x14ac:dyDescent="0.25">
      <c r="A12" s="88" t="s">
        <v>201</v>
      </c>
      <c r="B12" s="180" t="s">
        <v>118</v>
      </c>
      <c r="C12" s="180"/>
      <c r="D12" s="180"/>
    </row>
    <row r="13" spans="1:8" ht="16.5" customHeight="1" x14ac:dyDescent="0.25">
      <c r="A13" s="188" t="s">
        <v>222</v>
      </c>
      <c r="B13" s="188"/>
      <c r="C13" s="188"/>
      <c r="D13" s="188"/>
      <c r="E13" s="188"/>
      <c r="F13" s="188"/>
    </row>
    <row r="14" spans="1:8" ht="43.5" customHeight="1" x14ac:dyDescent="0.25">
      <c r="A14" s="98" t="s">
        <v>202</v>
      </c>
      <c r="B14" s="184" t="s">
        <v>203</v>
      </c>
      <c r="C14" s="185"/>
      <c r="D14" s="99" t="str">
        <f>"Total contribution " &amp;B3 &amp;" (total de l'avis d'impôt)"</f>
        <v>Total contribution 2025 (total de l'avis d'impôt)</v>
      </c>
      <c r="E14" s="99" t="str">
        <f>"Montant part communale " &amp;B3</f>
        <v>Montant part communale 2025</v>
      </c>
      <c r="F14" s="99" t="str">
        <f>"Frais de gestion DGFIP " &amp;B3</f>
        <v>Frais de gestion DGFIP 2025</v>
      </c>
    </row>
    <row r="15" spans="1:8" x14ac:dyDescent="0.25">
      <c r="A15" s="33" t="s">
        <v>239</v>
      </c>
      <c r="B15" s="186" t="s">
        <v>238</v>
      </c>
      <c r="C15" s="187"/>
      <c r="D15" s="34">
        <v>1150</v>
      </c>
      <c r="E15" s="34">
        <v>980</v>
      </c>
      <c r="F15" s="34">
        <v>50</v>
      </c>
    </row>
    <row r="16" spans="1:8" x14ac:dyDescent="0.25">
      <c r="D16" s="189" t="s">
        <v>204</v>
      </c>
      <c r="E16" s="189"/>
      <c r="F16" s="189"/>
      <c r="G16" s="189"/>
    </row>
    <row r="17" spans="1:8" ht="21.75" customHeight="1" x14ac:dyDescent="0.25">
      <c r="D17" s="87" t="s">
        <v>220</v>
      </c>
      <c r="E17" s="86"/>
    </row>
    <row r="18" spans="1:8" ht="33" customHeight="1" x14ac:dyDescent="0.25">
      <c r="A18" s="26" t="s">
        <v>167</v>
      </c>
      <c r="B18" s="67">
        <v>2026</v>
      </c>
      <c r="C18" s="67">
        <v>2027</v>
      </c>
      <c r="D18" s="67">
        <v>2028</v>
      </c>
      <c r="E18" s="67">
        <v>2029</v>
      </c>
      <c r="F18" s="67">
        <v>2030</v>
      </c>
      <c r="G18" s="67">
        <v>2031</v>
      </c>
      <c r="H18" s="38" t="s">
        <v>221</v>
      </c>
    </row>
    <row r="19" spans="1:8" x14ac:dyDescent="0.25">
      <c r="A19" s="101" t="str">
        <f>B12 &amp;IF($B$12="Taxe d'habitation sur les résidences secondaires (THRS)"," dont majoration",IF($B$12="Taxe sur la vacance des locaux d'habitation (TVLH)"," dont majoration",""))</f>
        <v>Taxe foncière sur les propriétés bâties (TFPB)</v>
      </c>
      <c r="B19" s="69">
        <f>B31+B32</f>
        <v>988.82</v>
      </c>
      <c r="C19" s="69">
        <f t="shared" ref="C19:G19" si="0">C31+C32</f>
        <v>1097.8275168</v>
      </c>
      <c r="D19" s="69">
        <f t="shared" si="0"/>
        <v>1119.784067136</v>
      </c>
      <c r="E19" s="69">
        <f t="shared" si="0"/>
        <v>1136.5808281430398</v>
      </c>
      <c r="F19" s="69">
        <f t="shared" si="0"/>
        <v>1153.6295405651852</v>
      </c>
      <c r="G19" s="69">
        <f t="shared" si="0"/>
        <v>1170.9339836736631</v>
      </c>
      <c r="H19" s="178">
        <f>G20+F20+E20+D20+C20</f>
        <v>182.11398367366303</v>
      </c>
    </row>
    <row r="20" spans="1:8" x14ac:dyDescent="0.25">
      <c r="A20" s="102" t="s">
        <v>172</v>
      </c>
      <c r="B20" s="69">
        <f>B19-(((B23/(1+'1_Simulation produit communal'!C36))*(SUMIF($A$7:$A$10,$B$12,B7:B10)/100))+B42)</f>
        <v>8.82000000000005</v>
      </c>
      <c r="C20" s="69">
        <f>C19-B19</f>
        <v>109.00751679999996</v>
      </c>
      <c r="D20" s="69">
        <f t="shared" ref="D20:G20" si="1">D19-C19</f>
        <v>21.956550335999964</v>
      </c>
      <c r="E20" s="69">
        <f t="shared" si="1"/>
        <v>16.796761007039777</v>
      </c>
      <c r="F20" s="69">
        <f t="shared" si="1"/>
        <v>17.0487124221454</v>
      </c>
      <c r="G20" s="69">
        <f t="shared" si="1"/>
        <v>17.304443108477926</v>
      </c>
      <c r="H20" s="179"/>
    </row>
    <row r="22" spans="1:8" ht="35.25" customHeight="1" x14ac:dyDescent="0.25">
      <c r="A22" s="66" t="s">
        <v>207</v>
      </c>
      <c r="B22" s="67">
        <v>2026</v>
      </c>
      <c r="C22" s="67">
        <v>2027</v>
      </c>
      <c r="D22" s="67">
        <v>2028</v>
      </c>
      <c r="E22" s="67">
        <v>2029</v>
      </c>
      <c r="F22" s="67">
        <v>2030</v>
      </c>
      <c r="G22" s="67">
        <v>2031</v>
      </c>
      <c r="H22" s="38" t="s">
        <v>221</v>
      </c>
    </row>
    <row r="23" spans="1:8" x14ac:dyDescent="0.25">
      <c r="A23" s="102" t="s">
        <v>166</v>
      </c>
      <c r="B23" s="70">
        <f>IF(B3=2025,((E15-B42)/(SUMIF($A$7:$A$10,$B$12,B7:B10)/100))*(1+'1_Simulation produit communal'!C36),(E15-B42)/(B24/100))</f>
        <v>2326.6352941176469</v>
      </c>
      <c r="C23" s="70">
        <f>B23*(1+'1_Simulation produit communal'!D36)</f>
        <v>2391.7810823529412</v>
      </c>
      <c r="D23" s="70">
        <f>C23*(1+'1_Simulation produit communal'!E36)</f>
        <v>2439.616704</v>
      </c>
      <c r="E23" s="70">
        <f>D23*(1+'1_Simulation produit communal'!F36)</f>
        <v>2476.2109545599997</v>
      </c>
      <c r="F23" s="70">
        <f>E23*(1+'1_Simulation produit communal'!G36)</f>
        <v>2513.3541188783993</v>
      </c>
      <c r="G23" s="70">
        <f>F23*(1+'1_Simulation produit communal'!H36)</f>
        <v>2551.0544306615752</v>
      </c>
      <c r="H23" s="71">
        <f>G23-B23</f>
        <v>224.41913654392829</v>
      </c>
    </row>
    <row r="24" spans="1:8" x14ac:dyDescent="0.25">
      <c r="A24" s="102" t="s">
        <v>230</v>
      </c>
      <c r="B24" s="63">
        <f t="shared" ref="B24:G24" si="2">SUMIF($A$37:$A$40,$B$12,B37:B40)</f>
        <v>42.5</v>
      </c>
      <c r="C24" s="63">
        <f t="shared" si="2"/>
        <v>45.9</v>
      </c>
      <c r="D24" s="63">
        <f t="shared" si="2"/>
        <v>45.9</v>
      </c>
      <c r="E24" s="63">
        <f t="shared" si="2"/>
        <v>45.9</v>
      </c>
      <c r="F24" s="63">
        <f t="shared" si="2"/>
        <v>45.9</v>
      </c>
      <c r="G24" s="63">
        <f t="shared" si="2"/>
        <v>45.9</v>
      </c>
      <c r="H24" s="79">
        <f>(G24-B24)/B24</f>
        <v>7.999999999999996E-2</v>
      </c>
    </row>
    <row r="25" spans="1:8" x14ac:dyDescent="0.25">
      <c r="A25" s="102" t="s">
        <v>206</v>
      </c>
      <c r="B25" s="63">
        <f>((D15-E15-F15)/B23)*100</f>
        <v>5.1576626686353428</v>
      </c>
      <c r="C25" s="63">
        <f>B27</f>
        <v>5.1576626686353428</v>
      </c>
      <c r="D25" s="63">
        <f t="shared" ref="D25:G25" si="3">C27</f>
        <v>5.1576626686353428</v>
      </c>
      <c r="E25" s="63">
        <f t="shared" si="3"/>
        <v>5.1576626686353428</v>
      </c>
      <c r="F25" s="63">
        <f t="shared" si="3"/>
        <v>5.1576626686353428</v>
      </c>
      <c r="G25" s="63">
        <f t="shared" si="3"/>
        <v>5.1576626686353428</v>
      </c>
      <c r="H25" s="27"/>
    </row>
    <row r="26" spans="1:8" x14ac:dyDescent="0.25">
      <c r="A26" s="104" t="s">
        <v>229</v>
      </c>
      <c r="B26" s="35"/>
      <c r="C26" s="35"/>
      <c r="D26" s="35"/>
      <c r="E26" s="35"/>
      <c r="F26" s="35"/>
      <c r="G26" s="35"/>
      <c r="H26" s="27"/>
    </row>
    <row r="27" spans="1:8" x14ac:dyDescent="0.25">
      <c r="A27" s="102" t="s">
        <v>208</v>
      </c>
      <c r="B27" s="63">
        <f>B25+B26</f>
        <v>5.1576626686353428</v>
      </c>
      <c r="C27" s="63">
        <f>C25+C26</f>
        <v>5.1576626686353428</v>
      </c>
      <c r="D27" s="63">
        <f t="shared" ref="D27:G27" si="4">D25+D26</f>
        <v>5.1576626686353428</v>
      </c>
      <c r="E27" s="63">
        <f t="shared" si="4"/>
        <v>5.1576626686353428</v>
      </c>
      <c r="F27" s="63">
        <f t="shared" si="4"/>
        <v>5.1576626686353428</v>
      </c>
      <c r="G27" s="63">
        <f t="shared" si="4"/>
        <v>5.1576626686353428</v>
      </c>
      <c r="H27" s="79">
        <f>(G27-B27)/B27</f>
        <v>0</v>
      </c>
    </row>
    <row r="28" spans="1:8" x14ac:dyDescent="0.25">
      <c r="A28" s="5" t="s">
        <v>214</v>
      </c>
      <c r="B28" s="6"/>
    </row>
    <row r="29" spans="1:8" ht="15" customHeight="1" x14ac:dyDescent="0.25">
      <c r="B29" s="6"/>
      <c r="C29" s="6"/>
    </row>
    <row r="30" spans="1:8" ht="35.25" customHeight="1" x14ac:dyDescent="0.25">
      <c r="A30" s="25" t="s">
        <v>205</v>
      </c>
      <c r="B30" s="67">
        <v>2026</v>
      </c>
      <c r="C30" s="67">
        <v>2027</v>
      </c>
      <c r="D30" s="67">
        <v>2028</v>
      </c>
      <c r="E30" s="67">
        <v>2029</v>
      </c>
      <c r="F30" s="67">
        <v>2030</v>
      </c>
      <c r="G30" s="67">
        <v>2031</v>
      </c>
      <c r="H30" s="38" t="s">
        <v>221</v>
      </c>
    </row>
    <row r="31" spans="1:8" x14ac:dyDescent="0.25">
      <c r="A31" s="102" t="s">
        <v>235</v>
      </c>
      <c r="B31" s="69">
        <f>B23*B24/100</f>
        <v>988.82</v>
      </c>
      <c r="C31" s="69">
        <f t="shared" ref="C31:G31" si="5">C23*C24/100</f>
        <v>1097.8275168</v>
      </c>
      <c r="D31" s="69">
        <f t="shared" si="5"/>
        <v>1119.784067136</v>
      </c>
      <c r="E31" s="69">
        <f t="shared" si="5"/>
        <v>1136.5808281430398</v>
      </c>
      <c r="F31" s="69">
        <f t="shared" si="5"/>
        <v>1153.6295405651852</v>
      </c>
      <c r="G31" s="69">
        <f t="shared" si="5"/>
        <v>1170.9339836736631</v>
      </c>
      <c r="H31" s="80">
        <f>G31-B31</f>
        <v>182.11398367366303</v>
      </c>
    </row>
    <row r="32" spans="1:8" x14ac:dyDescent="0.25">
      <c r="A32" s="102" t="str">
        <f>IF($B$12="Taxe d'habitation sur les résidences secondaires (THRS)","Montant majoration part communale",IF($B$12="Taxe sur la vacance des locaux d'habitation (TVLH)","Montant majoration par communale","Montant majoration (non concerné)"))</f>
        <v>Montant majoration (non concerné)</v>
      </c>
      <c r="B32" s="69">
        <f t="shared" ref="B32:G32" si="6">B31*B43</f>
        <v>0</v>
      </c>
      <c r="C32" s="69">
        <f t="shared" si="6"/>
        <v>0</v>
      </c>
      <c r="D32" s="69">
        <f t="shared" si="6"/>
        <v>0</v>
      </c>
      <c r="E32" s="69">
        <f t="shared" si="6"/>
        <v>0</v>
      </c>
      <c r="F32" s="69">
        <f t="shared" si="6"/>
        <v>0</v>
      </c>
      <c r="G32" s="69">
        <f t="shared" si="6"/>
        <v>0</v>
      </c>
      <c r="H32" s="80">
        <f>G32-B32</f>
        <v>0</v>
      </c>
    </row>
    <row r="33" spans="1:8" x14ac:dyDescent="0.25">
      <c r="A33" s="102" t="s">
        <v>173</v>
      </c>
      <c r="B33" s="69">
        <f t="shared" ref="B33:G33" si="7">B23*B27/100</f>
        <v>119.99999999999999</v>
      </c>
      <c r="C33" s="69">
        <f t="shared" si="7"/>
        <v>123.36</v>
      </c>
      <c r="D33" s="69">
        <f t="shared" si="7"/>
        <v>125.82719999999999</v>
      </c>
      <c r="E33" s="69">
        <f t="shared" si="7"/>
        <v>127.71460799999997</v>
      </c>
      <c r="F33" s="69">
        <f t="shared" si="7"/>
        <v>129.63032711999995</v>
      </c>
      <c r="G33" s="69">
        <f t="shared" si="7"/>
        <v>131.57478202679994</v>
      </c>
      <c r="H33" s="80">
        <f>G33-B33</f>
        <v>11.574782026799951</v>
      </c>
    </row>
    <row r="34" spans="1:8" x14ac:dyDescent="0.25">
      <c r="A34" s="103" t="s">
        <v>174</v>
      </c>
      <c r="B34" s="78">
        <f>B31+B32+B33</f>
        <v>1108.82</v>
      </c>
      <c r="C34" s="78">
        <f t="shared" ref="C34:G34" si="8">C31+C32+C33</f>
        <v>1221.1875167999999</v>
      </c>
      <c r="D34" s="78">
        <f t="shared" si="8"/>
        <v>1245.6112671359999</v>
      </c>
      <c r="E34" s="78">
        <f t="shared" si="8"/>
        <v>1264.2954361430398</v>
      </c>
      <c r="F34" s="78">
        <f t="shared" si="8"/>
        <v>1283.2598676851851</v>
      </c>
      <c r="G34" s="78">
        <f t="shared" si="8"/>
        <v>1302.5087657004631</v>
      </c>
      <c r="H34" s="80">
        <f>G34-B34</f>
        <v>193.68876570046314</v>
      </c>
    </row>
    <row r="35" spans="1:8" x14ac:dyDescent="0.25">
      <c r="A35" s="102" t="s">
        <v>172</v>
      </c>
      <c r="B35" s="89"/>
      <c r="C35" s="69">
        <f>C34-B34</f>
        <v>112.36751679999998</v>
      </c>
      <c r="D35" s="69">
        <f t="shared" ref="D35:G35" si="9">D34-C34</f>
        <v>24.423750336000012</v>
      </c>
      <c r="E35" s="69">
        <f t="shared" si="9"/>
        <v>18.684169007039827</v>
      </c>
      <c r="F35" s="69">
        <f t="shared" si="9"/>
        <v>18.964431542145348</v>
      </c>
      <c r="G35" s="69">
        <f t="shared" si="9"/>
        <v>19.248898015277973</v>
      </c>
      <c r="H35" s="90"/>
    </row>
    <row r="37" spans="1:8" hidden="1" x14ac:dyDescent="0.25">
      <c r="A37" s="101" t="s">
        <v>118</v>
      </c>
      <c r="B37" s="64">
        <f>'1_Simulation produit communal'!C64</f>
        <v>42.5</v>
      </c>
      <c r="C37" s="64">
        <f>'1_Simulation produit communal'!D64</f>
        <v>45.9</v>
      </c>
      <c r="D37" s="64">
        <f>'1_Simulation produit communal'!E64</f>
        <v>45.9</v>
      </c>
      <c r="E37" s="64">
        <f>'1_Simulation produit communal'!F64</f>
        <v>45.9</v>
      </c>
      <c r="F37" s="64">
        <f>'1_Simulation produit communal'!G64</f>
        <v>45.9</v>
      </c>
      <c r="G37" s="64">
        <f>'1_Simulation produit communal'!H64</f>
        <v>45.9</v>
      </c>
    </row>
    <row r="38" spans="1:8" hidden="1" x14ac:dyDescent="0.25">
      <c r="A38" s="101" t="s">
        <v>160</v>
      </c>
      <c r="B38" s="64">
        <f>'1_Simulation produit communal'!C68</f>
        <v>75</v>
      </c>
      <c r="C38" s="64">
        <f>'1_Simulation produit communal'!D68</f>
        <v>81</v>
      </c>
      <c r="D38" s="64">
        <f>'1_Simulation produit communal'!E68</f>
        <v>81</v>
      </c>
      <c r="E38" s="64">
        <f>'1_Simulation produit communal'!F68</f>
        <v>81</v>
      </c>
      <c r="F38" s="64">
        <f>'1_Simulation produit communal'!G68</f>
        <v>81</v>
      </c>
      <c r="G38" s="64">
        <f>'1_Simulation produit communal'!H68</f>
        <v>81</v>
      </c>
    </row>
    <row r="39" spans="1:8" ht="28.5" hidden="1" x14ac:dyDescent="0.25">
      <c r="A39" s="101" t="s">
        <v>158</v>
      </c>
      <c r="B39" s="64">
        <f>'1_Simulation produit communal'!C72</f>
        <v>18</v>
      </c>
      <c r="C39" s="64">
        <f>'1_Simulation produit communal'!D72</f>
        <v>19.440000000000001</v>
      </c>
      <c r="D39" s="64">
        <f>'1_Simulation produit communal'!E72</f>
        <v>19.440000000000001</v>
      </c>
      <c r="E39" s="64">
        <f>'1_Simulation produit communal'!F72</f>
        <v>19.440000000000001</v>
      </c>
      <c r="F39" s="64">
        <f>'1_Simulation produit communal'!G72</f>
        <v>19.440000000000001</v>
      </c>
      <c r="G39" s="64">
        <f>'1_Simulation produit communal'!H72</f>
        <v>19.440000000000001</v>
      </c>
    </row>
    <row r="40" spans="1:8" ht="28.5" hidden="1" x14ac:dyDescent="0.25">
      <c r="A40" s="101" t="s">
        <v>161</v>
      </c>
      <c r="B40" s="64">
        <f>'1_Simulation produit communal'!C79</f>
        <v>19.5</v>
      </c>
      <c r="C40" s="64">
        <f>'1_Simulation produit communal'!D79</f>
        <v>50</v>
      </c>
      <c r="D40" s="64">
        <f>'1_Simulation produit communal'!E79</f>
        <v>50</v>
      </c>
      <c r="E40" s="64">
        <f>'1_Simulation produit communal'!F79</f>
        <v>50</v>
      </c>
      <c r="F40" s="64">
        <f>'1_Simulation produit communal'!G79</f>
        <v>50</v>
      </c>
      <c r="G40" s="64">
        <f>'1_Simulation produit communal'!H79</f>
        <v>50</v>
      </c>
    </row>
    <row r="41" spans="1:8" hidden="1" x14ac:dyDescent="0.25"/>
    <row r="42" spans="1:8" hidden="1" x14ac:dyDescent="0.25">
      <c r="A42" s="105" t="s">
        <v>236</v>
      </c>
      <c r="B42" s="106">
        <f>(E15/(1+(IF(B12="Taxe d'habitation sur les résidences secondaires (THRS)",'1_Simulation produit communal'!C75,IF(B12="Taxe sur la vacance des locaux d'habitation (TVLH)",'1_Simulation produit communal'!C82,0)))))*IF(B12="Taxe d'habitation sur les résidences secondaires (THRS)",'1_Simulation produit communal'!C75,IF(B12="Taxe sur la vacance des locaux d'habitation (TVLH)",'1_Simulation produit communal'!C82,0))</f>
        <v>0</v>
      </c>
      <c r="C42" s="106"/>
      <c r="D42" s="106"/>
      <c r="E42" s="106"/>
      <c r="F42" s="106"/>
      <c r="G42" s="106"/>
    </row>
    <row r="43" spans="1:8" hidden="1" x14ac:dyDescent="0.25">
      <c r="A43" s="107" t="s">
        <v>237</v>
      </c>
      <c r="B43" s="106">
        <f>IF($B$12="Taxe d'habitation sur les résidences secondaires (THRS)",'1_Simulation produit communal'!C75,IF($B$12="Taxe sur la vacance des locaux d'habitation (TVLH)",'1_Simulation produit communal'!C82,0))</f>
        <v>0</v>
      </c>
      <c r="C43" s="106">
        <f>IF($B$12="Taxe d'habitation sur les résidences secondaires (THRS)",'1_Simulation produit communal'!D75,IF($B$12="Taxe sur la vacance des locaux d'habitation (TVLH)",'1_Simulation produit communal'!D82,0))</f>
        <v>0</v>
      </c>
      <c r="D43" s="106">
        <f>IF($B$12="Taxe d'habitation sur les résidences secondaires (THRS)",'1_Simulation produit communal'!E75,IF($B$12="Taxe sur la vacance des locaux d'habitation (TVLH)",'1_Simulation produit communal'!E82,0))</f>
        <v>0</v>
      </c>
      <c r="E43" s="106">
        <f>IF($B$12="Taxe d'habitation sur les résidences secondaires (THRS)",'1_Simulation produit communal'!F75,IF($B$12="Taxe sur la vacance des locaux d'habitation (TVLH)",'1_Simulation produit communal'!F82,0))</f>
        <v>0</v>
      </c>
      <c r="F43" s="106">
        <f>IF($B$12="Taxe d'habitation sur les résidences secondaires (THRS)",'1_Simulation produit communal'!G75,IF($B$12="Taxe sur la vacance des locaux d'habitation (TVLH)",'1_Simulation produit communal'!G82,0))</f>
        <v>0</v>
      </c>
      <c r="G43" s="106">
        <f>IF($B$12="Taxe d'habitation sur les résidences secondaires (THRS)",'1_Simulation produit communal'!H75,IF($B$12="Taxe sur la vacance des locaux d'habitation (TVLH)",'1_Simulation produit communal'!H82,0))</f>
        <v>0</v>
      </c>
    </row>
    <row r="52" spans="6:6" x14ac:dyDescent="0.25">
      <c r="F52" s="5">
        <f>B47+C47+D47+E47</f>
        <v>0</v>
      </c>
    </row>
  </sheetData>
  <sheetProtection sheet="1" objects="1" scenarios="1"/>
  <mergeCells count="7">
    <mergeCell ref="H19:H20"/>
    <mergeCell ref="B12:D12"/>
    <mergeCell ref="A1:H1"/>
    <mergeCell ref="B14:C14"/>
    <mergeCell ref="B15:C15"/>
    <mergeCell ref="A13:F13"/>
    <mergeCell ref="D16:G16"/>
  </mergeCells>
  <dataValidations count="2">
    <dataValidation type="list" allowBlank="1" showInputMessage="1" showErrorMessage="1" sqref="B12" xr:uid="{DE81A582-8812-45A1-A696-32D7F1706BEA}">
      <formula1>$A$7:$A$10</formula1>
    </dataValidation>
    <dataValidation type="list" allowBlank="1" showInputMessage="1" showErrorMessage="1" sqref="B3" xr:uid="{FCAE872B-ED27-4914-8F23-95DF422F45ED}">
      <formula1>$A$4:$B$4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065B7-8920-448F-88FD-01EB3AF40A55}">
  <dimension ref="A1:J103"/>
  <sheetViews>
    <sheetView topLeftCell="A3" workbookViewId="0">
      <selection activeCell="E1" sqref="E1"/>
    </sheetView>
  </sheetViews>
  <sheetFormatPr baseColWidth="10" defaultRowHeight="15" x14ac:dyDescent="0.25"/>
  <sheetData>
    <row r="1" spans="1:10" ht="75" x14ac:dyDescent="0.25">
      <c r="A1" s="1" t="s">
        <v>2</v>
      </c>
      <c r="B1" s="1" t="s">
        <v>3</v>
      </c>
      <c r="C1" s="1" t="s">
        <v>4</v>
      </c>
      <c r="D1" s="1" t="s">
        <v>5</v>
      </c>
      <c r="E1" s="1" t="s">
        <v>6</v>
      </c>
      <c r="F1" s="1" t="s">
        <v>7</v>
      </c>
      <c r="G1" s="1" t="s">
        <v>8</v>
      </c>
      <c r="H1" s="1" t="s">
        <v>9</v>
      </c>
      <c r="I1" s="1" t="s">
        <v>10</v>
      </c>
      <c r="J1" s="1" t="s">
        <v>11</v>
      </c>
    </row>
    <row r="2" spans="1:10" x14ac:dyDescent="0.25">
      <c r="A2" s="2" t="s">
        <v>12</v>
      </c>
      <c r="B2" s="2">
        <v>18.239999999999998</v>
      </c>
      <c r="C2" s="2">
        <v>45.6</v>
      </c>
      <c r="D2" s="2">
        <v>31.76</v>
      </c>
      <c r="E2" s="2">
        <v>79.400000000000006</v>
      </c>
      <c r="F2" s="2">
        <v>50.25</v>
      </c>
      <c r="G2" s="2">
        <v>125.63</v>
      </c>
      <c r="H2" s="2">
        <v>22.83</v>
      </c>
      <c r="I2" s="2">
        <v>13.77</v>
      </c>
      <c r="J2" s="2">
        <v>1.38</v>
      </c>
    </row>
    <row r="3" spans="1:10" x14ac:dyDescent="0.25">
      <c r="A3" s="2" t="s">
        <v>13</v>
      </c>
      <c r="B3" s="2">
        <v>22.28</v>
      </c>
      <c r="C3" s="2">
        <v>55.7</v>
      </c>
      <c r="D3" s="2">
        <v>54.81</v>
      </c>
      <c r="E3" s="2">
        <v>137.03</v>
      </c>
      <c r="F3" s="2">
        <v>33.049999999999997</v>
      </c>
      <c r="G3" s="2">
        <v>82.63</v>
      </c>
      <c r="H3" s="2">
        <v>24.21</v>
      </c>
      <c r="I3" s="2">
        <v>17.559999999999999</v>
      </c>
      <c r="J3" s="2">
        <v>1.76</v>
      </c>
    </row>
    <row r="4" spans="1:10" x14ac:dyDescent="0.25">
      <c r="A4" s="2" t="s">
        <v>14</v>
      </c>
      <c r="B4" s="2">
        <v>23.56</v>
      </c>
      <c r="C4" s="2">
        <v>58.9</v>
      </c>
      <c r="D4" s="2">
        <v>42.88</v>
      </c>
      <c r="E4" s="2">
        <v>107.2</v>
      </c>
      <c r="F4" s="2">
        <v>36.71</v>
      </c>
      <c r="G4" s="2">
        <v>91.78</v>
      </c>
      <c r="H4" s="2">
        <v>29</v>
      </c>
      <c r="I4" s="2">
        <v>16.13</v>
      </c>
      <c r="J4" s="2">
        <v>1.61</v>
      </c>
    </row>
    <row r="5" spans="1:10" ht="45" x14ac:dyDescent="0.25">
      <c r="A5" s="2" t="s">
        <v>15</v>
      </c>
      <c r="B5" s="2">
        <v>18.989999999999998</v>
      </c>
      <c r="C5" s="2">
        <v>47.48</v>
      </c>
      <c r="D5" s="2">
        <v>51.01</v>
      </c>
      <c r="E5" s="2">
        <v>127.53</v>
      </c>
      <c r="F5" s="2">
        <v>67.14</v>
      </c>
      <c r="G5" s="2">
        <v>167.85</v>
      </c>
      <c r="H5" s="2">
        <v>30.64</v>
      </c>
      <c r="I5" s="2">
        <v>10.59</v>
      </c>
      <c r="J5" s="2">
        <v>1.06</v>
      </c>
    </row>
    <row r="6" spans="1:10" ht="30" x14ac:dyDescent="0.25">
      <c r="A6" s="2" t="s">
        <v>16</v>
      </c>
      <c r="B6" s="2">
        <v>21.59</v>
      </c>
      <c r="C6" s="2">
        <v>53.98</v>
      </c>
      <c r="D6" s="2">
        <v>55.52</v>
      </c>
      <c r="E6" s="2">
        <v>138.80000000000001</v>
      </c>
      <c r="F6" s="2">
        <v>112.67</v>
      </c>
      <c r="G6" s="2">
        <v>281.68</v>
      </c>
      <c r="H6" s="2">
        <v>28.02</v>
      </c>
      <c r="I6" s="2">
        <v>14.5</v>
      </c>
      <c r="J6" s="2">
        <v>1.45</v>
      </c>
    </row>
    <row r="7" spans="1:10" ht="30" x14ac:dyDescent="0.25">
      <c r="A7" s="2" t="s">
        <v>17</v>
      </c>
      <c r="B7" s="2">
        <v>26.06</v>
      </c>
      <c r="C7" s="2">
        <v>65.150000000000006</v>
      </c>
      <c r="D7" s="2">
        <v>32.82</v>
      </c>
      <c r="E7" s="2">
        <v>82.05</v>
      </c>
      <c r="F7" s="2">
        <v>30.52</v>
      </c>
      <c r="G7" s="2">
        <v>76.3</v>
      </c>
      <c r="H7" s="2">
        <v>28.22</v>
      </c>
      <c r="I7" s="2">
        <v>20.28</v>
      </c>
      <c r="J7" s="2">
        <v>2.0299999999999998</v>
      </c>
    </row>
    <row r="8" spans="1:10" ht="30" x14ac:dyDescent="0.25">
      <c r="A8" s="2" t="s">
        <v>18</v>
      </c>
      <c r="B8" s="2">
        <v>21.19</v>
      </c>
      <c r="C8" s="2">
        <v>52.98</v>
      </c>
      <c r="D8" s="2">
        <v>39.33</v>
      </c>
      <c r="E8" s="2">
        <v>98.33</v>
      </c>
      <c r="F8" s="2">
        <v>80.23</v>
      </c>
      <c r="G8" s="2">
        <v>200.58</v>
      </c>
      <c r="H8" s="2">
        <v>27.19</v>
      </c>
      <c r="I8" s="2">
        <v>11.32</v>
      </c>
      <c r="J8" s="2">
        <v>1.1299999999999999</v>
      </c>
    </row>
    <row r="9" spans="1:10" ht="30" x14ac:dyDescent="0.25">
      <c r="A9" s="2" t="s">
        <v>19</v>
      </c>
      <c r="B9" s="2">
        <v>23.51</v>
      </c>
      <c r="C9" s="2">
        <v>58.78</v>
      </c>
      <c r="D9" s="2">
        <v>49.4</v>
      </c>
      <c r="E9" s="2">
        <v>123.5</v>
      </c>
      <c r="F9" s="2">
        <v>32.96</v>
      </c>
      <c r="G9" s="2">
        <v>82.4</v>
      </c>
      <c r="H9" s="2">
        <v>23.42</v>
      </c>
      <c r="I9" s="2">
        <v>14.63</v>
      </c>
      <c r="J9" s="2">
        <v>1.46</v>
      </c>
    </row>
    <row r="10" spans="1:10" x14ac:dyDescent="0.25">
      <c r="A10" s="2" t="s">
        <v>20</v>
      </c>
      <c r="B10" s="2">
        <v>22.18</v>
      </c>
      <c r="C10" s="2">
        <v>55.45</v>
      </c>
      <c r="D10" s="2">
        <v>46.63</v>
      </c>
      <c r="E10" s="2">
        <v>116.58</v>
      </c>
      <c r="F10" s="2">
        <v>123.24</v>
      </c>
      <c r="G10" s="2">
        <v>308.10000000000002</v>
      </c>
      <c r="H10" s="2">
        <v>41.56</v>
      </c>
      <c r="I10" s="2">
        <v>11.61</v>
      </c>
      <c r="J10" s="2">
        <v>1.1599999999999999</v>
      </c>
    </row>
    <row r="11" spans="1:10" x14ac:dyDescent="0.25">
      <c r="A11" s="2" t="s">
        <v>21</v>
      </c>
      <c r="B11" s="2">
        <v>24.38</v>
      </c>
      <c r="C11" s="2">
        <v>60.95</v>
      </c>
      <c r="D11" s="2">
        <v>44.7</v>
      </c>
      <c r="E11" s="2">
        <v>111.75</v>
      </c>
      <c r="F11" s="2">
        <v>22.34</v>
      </c>
      <c r="G11" s="2">
        <v>55.85</v>
      </c>
      <c r="H11" s="2">
        <v>22.13</v>
      </c>
      <c r="I11" s="2">
        <v>18.420000000000002</v>
      </c>
      <c r="J11" s="2">
        <v>1.84</v>
      </c>
    </row>
    <row r="12" spans="1:10" x14ac:dyDescent="0.25">
      <c r="A12" s="2" t="s">
        <v>22</v>
      </c>
      <c r="B12" s="2">
        <v>27.93</v>
      </c>
      <c r="C12" s="2">
        <v>69.83</v>
      </c>
      <c r="D12" s="2">
        <v>65.19</v>
      </c>
      <c r="E12" s="2">
        <v>162.97999999999999</v>
      </c>
      <c r="F12" s="2">
        <v>109.74</v>
      </c>
      <c r="G12" s="2">
        <v>274.35000000000002</v>
      </c>
      <c r="H12" s="2">
        <v>34.549999999999997</v>
      </c>
      <c r="I12" s="2">
        <v>17.36</v>
      </c>
      <c r="J12" s="2">
        <v>1.74</v>
      </c>
    </row>
    <row r="13" spans="1:10" ht="30" x14ac:dyDescent="0.25">
      <c r="A13" s="2" t="s">
        <v>23</v>
      </c>
      <c r="B13" s="2">
        <v>18.46</v>
      </c>
      <c r="C13" s="2">
        <v>46.15</v>
      </c>
      <c r="D13" s="2">
        <v>42.46</v>
      </c>
      <c r="E13" s="2">
        <v>106.15</v>
      </c>
      <c r="F13" s="2">
        <v>87.45</v>
      </c>
      <c r="G13" s="2">
        <v>218.63</v>
      </c>
      <c r="H13" s="2">
        <v>30.91</v>
      </c>
      <c r="I13" s="2">
        <v>10</v>
      </c>
      <c r="J13" s="2">
        <v>1</v>
      </c>
    </row>
    <row r="14" spans="1:10" ht="45" x14ac:dyDescent="0.25">
      <c r="A14" s="2" t="s">
        <v>24</v>
      </c>
      <c r="B14" s="2">
        <v>30.78</v>
      </c>
      <c r="C14" s="2">
        <v>76.95</v>
      </c>
      <c r="D14" s="2">
        <v>44.21</v>
      </c>
      <c r="E14" s="2">
        <v>110.53</v>
      </c>
      <c r="F14" s="2">
        <v>42.87</v>
      </c>
      <c r="G14" s="2">
        <v>107.18</v>
      </c>
      <c r="H14" s="2">
        <v>32.450000000000003</v>
      </c>
      <c r="I14" s="2">
        <v>19.22</v>
      </c>
      <c r="J14" s="2">
        <v>1.92</v>
      </c>
    </row>
    <row r="15" spans="1:10" ht="30" x14ac:dyDescent="0.25">
      <c r="A15" s="2" t="s">
        <v>25</v>
      </c>
      <c r="B15" s="2">
        <v>17.95</v>
      </c>
      <c r="C15" s="2">
        <v>44.88</v>
      </c>
      <c r="D15" s="2">
        <v>49.56</v>
      </c>
      <c r="E15" s="2">
        <v>123.9</v>
      </c>
      <c r="F15" s="2">
        <v>35.44</v>
      </c>
      <c r="G15" s="2">
        <v>88.6</v>
      </c>
      <c r="H15" s="2">
        <v>24.15</v>
      </c>
      <c r="I15" s="2">
        <v>11.53</v>
      </c>
      <c r="J15" s="2">
        <v>1.1499999999999999</v>
      </c>
    </row>
    <row r="16" spans="1:10" x14ac:dyDescent="0.25">
      <c r="A16" s="2" t="s">
        <v>26</v>
      </c>
      <c r="B16" s="2">
        <v>23.45</v>
      </c>
      <c r="C16" s="2">
        <v>58.63</v>
      </c>
      <c r="D16" s="2">
        <v>48.21</v>
      </c>
      <c r="E16" s="2">
        <v>120.53</v>
      </c>
      <c r="F16" s="2">
        <v>93.01</v>
      </c>
      <c r="G16" s="2">
        <v>232.53</v>
      </c>
      <c r="H16" s="2">
        <v>31.77</v>
      </c>
      <c r="I16" s="2">
        <v>13.06</v>
      </c>
      <c r="J16" s="2">
        <v>1.31</v>
      </c>
    </row>
    <row r="17" spans="1:10" ht="30" x14ac:dyDescent="0.25">
      <c r="A17" s="2" t="s">
        <v>27</v>
      </c>
      <c r="B17" s="2">
        <v>20.3</v>
      </c>
      <c r="C17" s="2">
        <v>50.75</v>
      </c>
      <c r="D17" s="2">
        <v>49.87</v>
      </c>
      <c r="E17" s="2">
        <v>124.68</v>
      </c>
      <c r="F17" s="2">
        <v>55.76</v>
      </c>
      <c r="G17" s="2">
        <v>139.4</v>
      </c>
      <c r="H17" s="2">
        <v>24.88</v>
      </c>
      <c r="I17" s="2">
        <v>11.99</v>
      </c>
      <c r="J17" s="2">
        <v>1.2</v>
      </c>
    </row>
    <row r="18" spans="1:10" ht="45" x14ac:dyDescent="0.25">
      <c r="A18" s="2" t="s">
        <v>28</v>
      </c>
      <c r="B18" s="2">
        <v>21.98</v>
      </c>
      <c r="C18" s="2">
        <v>54.95</v>
      </c>
      <c r="D18" s="2">
        <v>48.28</v>
      </c>
      <c r="E18" s="2">
        <v>120.7</v>
      </c>
      <c r="F18" s="2">
        <v>56.26</v>
      </c>
      <c r="G18" s="2">
        <v>140.65</v>
      </c>
      <c r="H18" s="2">
        <v>25.6</v>
      </c>
      <c r="I18" s="2">
        <v>11.23</v>
      </c>
      <c r="J18" s="2">
        <v>1.1200000000000001</v>
      </c>
    </row>
    <row r="19" spans="1:10" x14ac:dyDescent="0.25">
      <c r="A19" s="2" t="s">
        <v>29</v>
      </c>
      <c r="B19" s="2">
        <v>24.99</v>
      </c>
      <c r="C19" s="2">
        <v>62.48</v>
      </c>
      <c r="D19" s="2">
        <v>42.36</v>
      </c>
      <c r="E19" s="2">
        <v>105.9</v>
      </c>
      <c r="F19" s="2">
        <v>40.57</v>
      </c>
      <c r="G19" s="2">
        <v>101.43</v>
      </c>
      <c r="H19" s="2">
        <v>26.32</v>
      </c>
      <c r="I19" s="2">
        <v>18.32</v>
      </c>
      <c r="J19" s="2">
        <v>1.83</v>
      </c>
    </row>
    <row r="20" spans="1:10" ht="30" x14ac:dyDescent="0.25">
      <c r="A20" s="2" t="s">
        <v>30</v>
      </c>
      <c r="B20" s="2">
        <v>17.2</v>
      </c>
      <c r="C20" s="2">
        <v>43</v>
      </c>
      <c r="D20" s="2">
        <v>44.85</v>
      </c>
      <c r="E20" s="2">
        <v>112.13</v>
      </c>
      <c r="F20" s="2">
        <v>91.96</v>
      </c>
      <c r="G20" s="2">
        <v>229.9</v>
      </c>
      <c r="H20" s="2">
        <v>31.21</v>
      </c>
      <c r="I20" s="2">
        <v>10.31</v>
      </c>
      <c r="J20" s="2">
        <v>1.03</v>
      </c>
    </row>
    <row r="21" spans="1:10" ht="30" x14ac:dyDescent="0.25">
      <c r="A21" s="2" t="s">
        <v>31</v>
      </c>
      <c r="B21" s="2">
        <v>27.36</v>
      </c>
      <c r="C21" s="2">
        <v>68.400000000000006</v>
      </c>
      <c r="D21" s="2">
        <v>31.17</v>
      </c>
      <c r="E21" s="2">
        <v>77.930000000000007</v>
      </c>
      <c r="F21" s="2">
        <v>78.209999999999994</v>
      </c>
      <c r="G21" s="2">
        <v>195.53</v>
      </c>
      <c r="H21" s="2">
        <v>20.02</v>
      </c>
      <c r="I21" s="2">
        <v>21.63</v>
      </c>
      <c r="J21" s="2">
        <v>2.16</v>
      </c>
    </row>
    <row r="22" spans="1:10" ht="30" x14ac:dyDescent="0.25">
      <c r="A22" s="2" t="s">
        <v>32</v>
      </c>
      <c r="B22" s="2">
        <v>27.5</v>
      </c>
      <c r="C22" s="2">
        <v>68.75</v>
      </c>
      <c r="D22" s="2">
        <v>30.22</v>
      </c>
      <c r="E22" s="2">
        <v>75.55</v>
      </c>
      <c r="F22" s="2">
        <v>68.569999999999993</v>
      </c>
      <c r="G22" s="2">
        <v>171.43</v>
      </c>
      <c r="H22" s="2">
        <v>20.99</v>
      </c>
      <c r="I22" s="2">
        <v>18.41</v>
      </c>
      <c r="J22" s="2">
        <v>1.84</v>
      </c>
    </row>
    <row r="23" spans="1:10" ht="30" x14ac:dyDescent="0.25">
      <c r="A23" s="2" t="s">
        <v>33</v>
      </c>
      <c r="B23" s="2">
        <v>20.56</v>
      </c>
      <c r="C23" s="2">
        <v>51.4</v>
      </c>
      <c r="D23" s="2">
        <v>45.03</v>
      </c>
      <c r="E23" s="2">
        <v>112.58</v>
      </c>
      <c r="F23" s="2">
        <v>37.36</v>
      </c>
      <c r="G23" s="2">
        <v>93.4</v>
      </c>
      <c r="H23" s="2">
        <v>24.66</v>
      </c>
      <c r="I23" s="2">
        <v>14.82</v>
      </c>
      <c r="J23" s="2">
        <v>1.48</v>
      </c>
    </row>
    <row r="24" spans="1:10" ht="30" x14ac:dyDescent="0.25">
      <c r="A24" s="2" t="s">
        <v>34</v>
      </c>
      <c r="B24" s="2">
        <v>30.36</v>
      </c>
      <c r="C24" s="2">
        <v>75.900000000000006</v>
      </c>
      <c r="D24" s="2">
        <v>43.65</v>
      </c>
      <c r="E24" s="2">
        <v>109.13</v>
      </c>
      <c r="F24" s="2">
        <v>76.849999999999994</v>
      </c>
      <c r="G24" s="2">
        <v>192.13</v>
      </c>
      <c r="H24" s="2">
        <v>26.93</v>
      </c>
      <c r="I24" s="2">
        <v>16.420000000000002</v>
      </c>
      <c r="J24" s="2">
        <v>1.64</v>
      </c>
    </row>
    <row r="25" spans="1:10" x14ac:dyDescent="0.25">
      <c r="A25" s="2" t="s">
        <v>35</v>
      </c>
      <c r="B25" s="2">
        <v>22.12</v>
      </c>
      <c r="C25" s="2">
        <v>55.3</v>
      </c>
      <c r="D25" s="2">
        <v>42.88</v>
      </c>
      <c r="E25" s="2">
        <v>107.2</v>
      </c>
      <c r="F25" s="2">
        <v>59.68</v>
      </c>
      <c r="G25" s="2">
        <v>149.19999999999999</v>
      </c>
      <c r="H25" s="2">
        <v>30.69</v>
      </c>
      <c r="I25" s="2">
        <v>10.95</v>
      </c>
      <c r="J25" s="2">
        <v>1.1000000000000001</v>
      </c>
    </row>
    <row r="26" spans="1:10" ht="30" x14ac:dyDescent="0.25">
      <c r="A26" s="2" t="s">
        <v>36</v>
      </c>
      <c r="B26" s="2">
        <v>19.27</v>
      </c>
      <c r="C26" s="2">
        <v>48.18</v>
      </c>
      <c r="D26" s="2">
        <v>55.79</v>
      </c>
      <c r="E26" s="2">
        <v>139.47999999999999</v>
      </c>
      <c r="F26" s="2">
        <v>90.52</v>
      </c>
      <c r="G26" s="2">
        <v>226.3</v>
      </c>
      <c r="H26" s="2">
        <v>27.12</v>
      </c>
      <c r="I26" s="2">
        <v>11.97</v>
      </c>
      <c r="J26" s="2">
        <v>1.2</v>
      </c>
    </row>
    <row r="27" spans="1:10" x14ac:dyDescent="0.25">
      <c r="A27" s="2" t="s">
        <v>37</v>
      </c>
      <c r="B27" s="2">
        <v>22.64</v>
      </c>
      <c r="C27" s="2">
        <v>56.6</v>
      </c>
      <c r="D27" s="2">
        <v>39.79</v>
      </c>
      <c r="E27" s="2">
        <v>99.48</v>
      </c>
      <c r="F27" s="2">
        <v>25.18</v>
      </c>
      <c r="G27" s="2">
        <v>62.95</v>
      </c>
      <c r="H27" s="2">
        <v>26.16</v>
      </c>
      <c r="I27" s="2">
        <v>16.27</v>
      </c>
      <c r="J27" s="2">
        <v>1.63</v>
      </c>
    </row>
    <row r="28" spans="1:10" x14ac:dyDescent="0.25">
      <c r="A28" s="2" t="s">
        <v>38</v>
      </c>
      <c r="B28" s="2">
        <v>20.14</v>
      </c>
      <c r="C28" s="2">
        <v>50.35</v>
      </c>
      <c r="D28" s="2">
        <v>37.21</v>
      </c>
      <c r="E28" s="2">
        <v>93.03</v>
      </c>
      <c r="F28" s="2">
        <v>60.09</v>
      </c>
      <c r="G28" s="2">
        <v>150.22999999999999</v>
      </c>
      <c r="H28" s="2">
        <v>25.86</v>
      </c>
      <c r="I28" s="2">
        <v>13.46</v>
      </c>
      <c r="J28" s="2">
        <v>1.35</v>
      </c>
    </row>
    <row r="29" spans="1:10" x14ac:dyDescent="0.25">
      <c r="A29" s="2" t="s">
        <v>39</v>
      </c>
      <c r="B29" s="2">
        <v>19.45</v>
      </c>
      <c r="C29" s="2">
        <v>48.63</v>
      </c>
      <c r="D29" s="2">
        <v>49.02</v>
      </c>
      <c r="E29" s="2">
        <v>122.55</v>
      </c>
      <c r="F29" s="2">
        <v>52.78</v>
      </c>
      <c r="G29" s="2">
        <v>131.94999999999999</v>
      </c>
      <c r="H29" s="2">
        <v>23.96</v>
      </c>
      <c r="I29" s="2">
        <v>11.32</v>
      </c>
      <c r="J29" s="2">
        <v>1.1299999999999999</v>
      </c>
    </row>
    <row r="30" spans="1:10" ht="30" x14ac:dyDescent="0.25">
      <c r="A30" s="2" t="s">
        <v>40</v>
      </c>
      <c r="B30" s="2">
        <v>22.34</v>
      </c>
      <c r="C30" s="2">
        <v>55.85</v>
      </c>
      <c r="D30" s="2">
        <v>49.04</v>
      </c>
      <c r="E30" s="2">
        <v>122.6</v>
      </c>
      <c r="F30" s="2">
        <v>33.979999999999997</v>
      </c>
      <c r="G30" s="2">
        <v>84.95</v>
      </c>
      <c r="H30" s="2">
        <v>24.29</v>
      </c>
      <c r="I30" s="2">
        <v>13.16</v>
      </c>
      <c r="J30" s="2">
        <v>1.32</v>
      </c>
    </row>
    <row r="31" spans="1:10" ht="30" x14ac:dyDescent="0.25">
      <c r="A31" s="2" t="s">
        <v>41</v>
      </c>
      <c r="B31" s="2">
        <v>27.12</v>
      </c>
      <c r="C31" s="2">
        <v>67.8</v>
      </c>
      <c r="D31" s="2">
        <v>39.68</v>
      </c>
      <c r="E31" s="2">
        <v>99.2</v>
      </c>
      <c r="F31" s="2">
        <v>47.33</v>
      </c>
      <c r="G31" s="2">
        <v>118.33</v>
      </c>
      <c r="H31" s="2">
        <v>26.19</v>
      </c>
      <c r="I31" s="2">
        <v>15.74</v>
      </c>
      <c r="J31" s="2">
        <v>1.57</v>
      </c>
    </row>
    <row r="32" spans="1:10" x14ac:dyDescent="0.25">
      <c r="A32" s="2" t="s">
        <v>42</v>
      </c>
      <c r="B32" s="2">
        <v>23.32</v>
      </c>
      <c r="C32" s="2">
        <v>58.3</v>
      </c>
      <c r="D32" s="2">
        <v>49.89</v>
      </c>
      <c r="E32" s="2">
        <v>124.73</v>
      </c>
      <c r="F32" s="2">
        <v>70.989999999999995</v>
      </c>
      <c r="G32" s="2">
        <v>177.48</v>
      </c>
      <c r="H32" s="2">
        <v>31.73</v>
      </c>
      <c r="I32" s="2">
        <v>13.48</v>
      </c>
      <c r="J32" s="2">
        <v>1.35</v>
      </c>
    </row>
    <row r="33" spans="1:10" ht="45" x14ac:dyDescent="0.25">
      <c r="A33" s="2" t="s">
        <v>43</v>
      </c>
      <c r="B33" s="2">
        <v>27.45</v>
      </c>
      <c r="C33" s="2">
        <v>68.63</v>
      </c>
      <c r="D33" s="2">
        <v>50.39</v>
      </c>
      <c r="E33" s="2">
        <v>125.98</v>
      </c>
      <c r="F33" s="2">
        <v>97.23</v>
      </c>
      <c r="G33" s="2">
        <v>243.08</v>
      </c>
      <c r="H33" s="2">
        <v>36.35</v>
      </c>
      <c r="I33" s="2">
        <v>14</v>
      </c>
      <c r="J33" s="2">
        <v>1.4</v>
      </c>
    </row>
    <row r="34" spans="1:10" x14ac:dyDescent="0.25">
      <c r="A34" s="2" t="s">
        <v>44</v>
      </c>
      <c r="B34" s="2">
        <v>30.17</v>
      </c>
      <c r="C34" s="2">
        <v>75.430000000000007</v>
      </c>
      <c r="D34" s="2">
        <v>67.61</v>
      </c>
      <c r="E34" s="2">
        <v>169.03</v>
      </c>
      <c r="F34" s="2">
        <v>98.94</v>
      </c>
      <c r="G34" s="2">
        <v>247.35</v>
      </c>
      <c r="H34" s="2">
        <v>33.56</v>
      </c>
      <c r="I34" s="2">
        <v>14.66</v>
      </c>
      <c r="J34" s="2">
        <v>1.47</v>
      </c>
    </row>
    <row r="35" spans="1:10" ht="30" x14ac:dyDescent="0.25">
      <c r="A35" s="2" t="s">
        <v>45</v>
      </c>
      <c r="B35" s="2">
        <v>24.5</v>
      </c>
      <c r="C35" s="2">
        <v>61.25</v>
      </c>
      <c r="D35" s="2">
        <v>45.44</v>
      </c>
      <c r="E35" s="2">
        <v>113.6</v>
      </c>
      <c r="F35" s="2">
        <v>57.61</v>
      </c>
      <c r="G35" s="2">
        <v>144.03</v>
      </c>
      <c r="H35" s="2">
        <v>31.85</v>
      </c>
      <c r="I35" s="2">
        <v>17.48</v>
      </c>
      <c r="J35" s="2">
        <v>1.75</v>
      </c>
    </row>
    <row r="36" spans="1:10" x14ac:dyDescent="0.25">
      <c r="A36" s="2" t="s">
        <v>46</v>
      </c>
      <c r="B36" s="2">
        <v>30.03</v>
      </c>
      <c r="C36" s="2">
        <v>75.08</v>
      </c>
      <c r="D36" s="2">
        <v>50.29</v>
      </c>
      <c r="E36" s="2">
        <v>125.73</v>
      </c>
      <c r="F36" s="2">
        <v>84.71</v>
      </c>
      <c r="G36" s="2">
        <v>211.78</v>
      </c>
      <c r="H36" s="2">
        <v>35.729999999999997</v>
      </c>
      <c r="I36" s="2">
        <v>17.36</v>
      </c>
      <c r="J36" s="2">
        <v>1.74</v>
      </c>
    </row>
    <row r="37" spans="1:10" ht="30" x14ac:dyDescent="0.25">
      <c r="A37" s="2" t="s">
        <v>47</v>
      </c>
      <c r="B37" s="2">
        <v>27.92</v>
      </c>
      <c r="C37" s="2">
        <v>69.8</v>
      </c>
      <c r="D37" s="2">
        <v>43.88</v>
      </c>
      <c r="E37" s="2">
        <v>109.7</v>
      </c>
      <c r="F37" s="2">
        <v>48.6</v>
      </c>
      <c r="G37" s="2">
        <v>121.5</v>
      </c>
      <c r="H37" s="2">
        <v>27.17</v>
      </c>
      <c r="I37" s="2">
        <v>16.93</v>
      </c>
      <c r="J37" s="2">
        <v>1.69</v>
      </c>
    </row>
    <row r="38" spans="1:10" x14ac:dyDescent="0.25">
      <c r="A38" s="2" t="s">
        <v>48</v>
      </c>
      <c r="B38" s="2">
        <v>21.22</v>
      </c>
      <c r="C38" s="2">
        <v>53.05</v>
      </c>
      <c r="D38" s="2">
        <v>39.270000000000003</v>
      </c>
      <c r="E38" s="2">
        <v>98.18</v>
      </c>
      <c r="F38" s="2">
        <v>42.24</v>
      </c>
      <c r="G38" s="2">
        <v>105.6</v>
      </c>
      <c r="H38" s="2">
        <v>24.76</v>
      </c>
      <c r="I38" s="2">
        <v>14.72</v>
      </c>
      <c r="J38" s="2">
        <v>1.47</v>
      </c>
    </row>
    <row r="39" spans="1:10" ht="30" x14ac:dyDescent="0.25">
      <c r="A39" s="2" t="s">
        <v>49</v>
      </c>
      <c r="B39" s="2">
        <v>22.9</v>
      </c>
      <c r="C39" s="2">
        <v>57.25</v>
      </c>
      <c r="D39" s="2">
        <v>40.29</v>
      </c>
      <c r="E39" s="2">
        <v>100.73</v>
      </c>
      <c r="F39" s="2">
        <v>47.18</v>
      </c>
      <c r="G39" s="2">
        <v>117.95</v>
      </c>
      <c r="H39" s="2">
        <v>23.46</v>
      </c>
      <c r="I39" s="2">
        <v>16.09</v>
      </c>
      <c r="J39" s="2">
        <v>1.61</v>
      </c>
    </row>
    <row r="40" spans="1:10" x14ac:dyDescent="0.25">
      <c r="A40" s="2" t="s">
        <v>50</v>
      </c>
      <c r="B40" s="2">
        <v>22.8</v>
      </c>
      <c r="C40" s="2">
        <v>57</v>
      </c>
      <c r="D40" s="2">
        <v>47.83</v>
      </c>
      <c r="E40" s="2">
        <v>119.58</v>
      </c>
      <c r="F40" s="2">
        <v>62.91</v>
      </c>
      <c r="G40" s="2">
        <v>157.28</v>
      </c>
      <c r="H40" s="2">
        <v>30.01</v>
      </c>
      <c r="I40" s="2">
        <v>17.27</v>
      </c>
      <c r="J40" s="2">
        <v>1.73</v>
      </c>
    </row>
    <row r="41" spans="1:10" x14ac:dyDescent="0.25">
      <c r="A41" s="2" t="s">
        <v>51</v>
      </c>
      <c r="B41" s="2">
        <v>22.39</v>
      </c>
      <c r="C41" s="2">
        <v>55.98</v>
      </c>
      <c r="D41" s="2">
        <v>47.38</v>
      </c>
      <c r="E41" s="2">
        <v>118.45</v>
      </c>
      <c r="F41" s="2">
        <v>33.67</v>
      </c>
      <c r="G41" s="2">
        <v>84.18</v>
      </c>
      <c r="H41" s="2">
        <v>22.18</v>
      </c>
      <c r="I41" s="2">
        <v>10.95</v>
      </c>
      <c r="J41" s="2">
        <v>1.1000000000000001</v>
      </c>
    </row>
    <row r="42" spans="1:10" x14ac:dyDescent="0.25">
      <c r="A42" s="2" t="s">
        <v>52</v>
      </c>
      <c r="B42" s="2">
        <v>24.18</v>
      </c>
      <c r="C42" s="2">
        <v>60.45</v>
      </c>
      <c r="D42" s="2">
        <v>38.89</v>
      </c>
      <c r="E42" s="2">
        <v>97.23</v>
      </c>
      <c r="F42" s="2">
        <v>55.69</v>
      </c>
      <c r="G42" s="2">
        <v>139.22999999999999</v>
      </c>
      <c r="H42" s="2">
        <v>28.03</v>
      </c>
      <c r="I42" s="2">
        <v>14.46</v>
      </c>
      <c r="J42" s="2">
        <v>1.45</v>
      </c>
    </row>
    <row r="43" spans="1:10" ht="30" x14ac:dyDescent="0.25">
      <c r="A43" s="2" t="s">
        <v>53</v>
      </c>
      <c r="B43" s="2">
        <v>24.05</v>
      </c>
      <c r="C43" s="2">
        <v>60.13</v>
      </c>
      <c r="D43" s="2">
        <v>51.74</v>
      </c>
      <c r="E43" s="2">
        <v>129.35</v>
      </c>
      <c r="F43" s="2">
        <v>51.66</v>
      </c>
      <c r="G43" s="2">
        <v>129.15</v>
      </c>
      <c r="H43" s="2">
        <v>24.17</v>
      </c>
      <c r="I43" s="2">
        <v>15.48</v>
      </c>
      <c r="J43" s="2">
        <v>1.55</v>
      </c>
    </row>
    <row r="44" spans="1:10" x14ac:dyDescent="0.25">
      <c r="A44" s="2" t="s">
        <v>54</v>
      </c>
      <c r="B44" s="2">
        <v>20.23</v>
      </c>
      <c r="C44" s="2">
        <v>50.58</v>
      </c>
      <c r="D44" s="2">
        <v>40.18</v>
      </c>
      <c r="E44" s="2">
        <v>100.45</v>
      </c>
      <c r="F44" s="2">
        <v>44.63</v>
      </c>
      <c r="G44" s="2">
        <v>111.58</v>
      </c>
      <c r="H44" s="2">
        <v>28.21</v>
      </c>
      <c r="I44" s="2">
        <v>13.73</v>
      </c>
      <c r="J44" s="2">
        <v>1.37</v>
      </c>
    </row>
    <row r="45" spans="1:10" ht="30" x14ac:dyDescent="0.25">
      <c r="A45" s="2" t="s">
        <v>55</v>
      </c>
      <c r="B45" s="2">
        <v>20.47</v>
      </c>
      <c r="C45" s="2">
        <v>51.18</v>
      </c>
      <c r="D45" s="2">
        <v>42.65</v>
      </c>
      <c r="E45" s="2">
        <v>106.63</v>
      </c>
      <c r="F45" s="2">
        <v>75.06</v>
      </c>
      <c r="G45" s="2">
        <v>187.65</v>
      </c>
      <c r="H45" s="2">
        <v>26.89</v>
      </c>
      <c r="I45" s="2">
        <v>11.18</v>
      </c>
      <c r="J45" s="2">
        <v>1.1200000000000001</v>
      </c>
    </row>
    <row r="46" spans="1:10" ht="45" x14ac:dyDescent="0.25">
      <c r="A46" s="2" t="s">
        <v>56</v>
      </c>
      <c r="B46" s="2">
        <v>25.46</v>
      </c>
      <c r="C46" s="2">
        <v>63.65</v>
      </c>
      <c r="D46" s="2">
        <v>43.74</v>
      </c>
      <c r="E46" s="2">
        <v>109.35</v>
      </c>
      <c r="F46" s="2">
        <v>57.98</v>
      </c>
      <c r="G46" s="2">
        <v>144.94999999999999</v>
      </c>
      <c r="H46" s="2">
        <v>28.83</v>
      </c>
      <c r="I46" s="2">
        <v>16.21</v>
      </c>
      <c r="J46" s="2">
        <v>1.62</v>
      </c>
    </row>
    <row r="47" spans="1:10" x14ac:dyDescent="0.25">
      <c r="A47" s="2" t="s">
        <v>57</v>
      </c>
      <c r="B47" s="2">
        <v>21.13</v>
      </c>
      <c r="C47" s="2">
        <v>52.83</v>
      </c>
      <c r="D47" s="2">
        <v>48.15</v>
      </c>
      <c r="E47" s="2">
        <v>120.38</v>
      </c>
      <c r="F47" s="2">
        <v>47.34</v>
      </c>
      <c r="G47" s="2">
        <v>118.35</v>
      </c>
      <c r="H47" s="2">
        <v>22.79</v>
      </c>
      <c r="I47" s="2">
        <v>14.92</v>
      </c>
      <c r="J47" s="2">
        <v>1.49</v>
      </c>
    </row>
    <row r="48" spans="1:10" x14ac:dyDescent="0.25">
      <c r="A48" s="2" t="s">
        <v>58</v>
      </c>
      <c r="B48" s="2">
        <v>18.989999999999998</v>
      </c>
      <c r="C48" s="2">
        <v>47.48</v>
      </c>
      <c r="D48" s="2">
        <v>47.87</v>
      </c>
      <c r="E48" s="2">
        <v>119.68</v>
      </c>
      <c r="F48" s="2">
        <v>157.16</v>
      </c>
      <c r="G48" s="2">
        <v>392.9</v>
      </c>
      <c r="H48" s="2">
        <v>31.45</v>
      </c>
      <c r="I48" s="2">
        <v>9.99</v>
      </c>
      <c r="J48" s="2">
        <v>0.999</v>
      </c>
    </row>
    <row r="49" spans="1:10" ht="30" x14ac:dyDescent="0.25">
      <c r="A49" s="2" t="s">
        <v>59</v>
      </c>
      <c r="B49" s="2">
        <v>20.87</v>
      </c>
      <c r="C49" s="2">
        <v>52.18</v>
      </c>
      <c r="D49" s="2">
        <v>54.02</v>
      </c>
      <c r="E49" s="2">
        <v>135.05000000000001</v>
      </c>
      <c r="F49" s="2">
        <v>85.73</v>
      </c>
      <c r="G49" s="2">
        <v>214.33</v>
      </c>
      <c r="H49" s="2">
        <v>28.87</v>
      </c>
      <c r="I49" s="2">
        <v>13.33</v>
      </c>
      <c r="J49" s="2">
        <v>1.33</v>
      </c>
    </row>
    <row r="50" spans="1:10" x14ac:dyDescent="0.25">
      <c r="A50" s="2" t="s">
        <v>60</v>
      </c>
      <c r="B50" s="2">
        <v>15.13</v>
      </c>
      <c r="C50" s="2">
        <v>37.83</v>
      </c>
      <c r="D50" s="2">
        <v>46.02</v>
      </c>
      <c r="E50" s="2">
        <v>115.05</v>
      </c>
      <c r="F50" s="2">
        <v>199.87</v>
      </c>
      <c r="G50" s="2">
        <v>499.68</v>
      </c>
      <c r="H50" s="2">
        <v>27.22</v>
      </c>
      <c r="I50" s="2">
        <v>10.210000000000001</v>
      </c>
      <c r="J50" s="2">
        <v>1.02</v>
      </c>
    </row>
    <row r="51" spans="1:10" ht="30" x14ac:dyDescent="0.25">
      <c r="A51" s="2" t="s">
        <v>61</v>
      </c>
      <c r="B51" s="2">
        <v>22.43</v>
      </c>
      <c r="C51" s="2">
        <v>56.08</v>
      </c>
      <c r="D51" s="2">
        <v>50.04</v>
      </c>
      <c r="E51" s="2">
        <v>125.1</v>
      </c>
      <c r="F51" s="2">
        <v>44.44</v>
      </c>
      <c r="G51" s="2">
        <v>111.1</v>
      </c>
      <c r="H51" s="2">
        <v>23.83</v>
      </c>
      <c r="I51" s="2">
        <v>16.09</v>
      </c>
      <c r="J51" s="2">
        <v>1.61</v>
      </c>
    </row>
    <row r="52" spans="1:10" x14ac:dyDescent="0.25">
      <c r="A52" s="2" t="s">
        <v>62</v>
      </c>
      <c r="B52" s="2">
        <v>23.91</v>
      </c>
      <c r="C52" s="2">
        <v>59.78</v>
      </c>
      <c r="D52" s="2">
        <v>46.16</v>
      </c>
      <c r="E52" s="2">
        <v>115.4</v>
      </c>
      <c r="F52" s="2">
        <v>42.4</v>
      </c>
      <c r="G52" s="2">
        <v>106</v>
      </c>
      <c r="H52" s="2">
        <v>25.28</v>
      </c>
      <c r="I52" s="2">
        <v>11.92</v>
      </c>
      <c r="J52" s="2">
        <v>1.19</v>
      </c>
    </row>
    <row r="53" spans="1:10" x14ac:dyDescent="0.25">
      <c r="A53" s="2" t="s">
        <v>63</v>
      </c>
      <c r="B53" s="2">
        <v>25</v>
      </c>
      <c r="C53" s="2">
        <v>62.5</v>
      </c>
      <c r="D53" s="2">
        <v>42.13</v>
      </c>
      <c r="E53" s="2">
        <v>105.33</v>
      </c>
      <c r="F53" s="2">
        <v>25.5</v>
      </c>
      <c r="G53" s="2">
        <v>63.75</v>
      </c>
      <c r="H53" s="2">
        <v>22.85</v>
      </c>
      <c r="I53" s="2">
        <v>17.989999999999998</v>
      </c>
      <c r="J53" s="2">
        <v>1.8</v>
      </c>
    </row>
    <row r="54" spans="1:10" ht="30" x14ac:dyDescent="0.25">
      <c r="A54" s="2" t="s">
        <v>64</v>
      </c>
      <c r="B54" s="2">
        <v>21.06</v>
      </c>
      <c r="C54" s="2">
        <v>52.65</v>
      </c>
      <c r="D54" s="2">
        <v>50.66</v>
      </c>
      <c r="E54" s="2">
        <v>126.65</v>
      </c>
      <c r="F54" s="2">
        <v>28.83</v>
      </c>
      <c r="G54" s="2">
        <v>72.08</v>
      </c>
      <c r="H54" s="2">
        <v>21.69</v>
      </c>
      <c r="I54" s="2">
        <v>13.64</v>
      </c>
      <c r="J54" s="2">
        <v>1.36</v>
      </c>
    </row>
    <row r="55" spans="1:10" ht="30" x14ac:dyDescent="0.25">
      <c r="A55" s="2" t="s">
        <v>65</v>
      </c>
      <c r="B55" s="2">
        <v>26.65</v>
      </c>
      <c r="C55" s="2">
        <v>66.63</v>
      </c>
      <c r="D55" s="2">
        <v>46.24</v>
      </c>
      <c r="E55" s="2">
        <v>115.6</v>
      </c>
      <c r="F55" s="2">
        <v>45.97</v>
      </c>
      <c r="G55" s="2">
        <v>114.93</v>
      </c>
      <c r="H55" s="2">
        <v>25.51</v>
      </c>
      <c r="I55" s="2">
        <v>16.38</v>
      </c>
      <c r="J55" s="2">
        <v>1.64</v>
      </c>
    </row>
    <row r="56" spans="1:10" ht="45" x14ac:dyDescent="0.25">
      <c r="A56" s="2" t="s">
        <v>66</v>
      </c>
      <c r="B56" s="2">
        <v>21.72</v>
      </c>
      <c r="C56" s="2">
        <v>54.3</v>
      </c>
      <c r="D56" s="2">
        <v>38.24</v>
      </c>
      <c r="E56" s="2">
        <v>95.6</v>
      </c>
      <c r="F56" s="2">
        <v>29.6</v>
      </c>
      <c r="G56" s="2">
        <v>74</v>
      </c>
      <c r="H56" s="2">
        <v>27.74</v>
      </c>
      <c r="I56" s="2">
        <v>14.15</v>
      </c>
      <c r="J56" s="2">
        <v>1.42</v>
      </c>
    </row>
    <row r="57" spans="1:10" x14ac:dyDescent="0.25">
      <c r="A57" s="2" t="s">
        <v>67</v>
      </c>
      <c r="B57" s="2">
        <v>19.28</v>
      </c>
      <c r="C57" s="2">
        <v>48.2</v>
      </c>
      <c r="D57" s="2">
        <v>49.1</v>
      </c>
      <c r="E57" s="2">
        <v>122.75</v>
      </c>
      <c r="F57" s="2">
        <v>35.770000000000003</v>
      </c>
      <c r="G57" s="2">
        <v>89.43</v>
      </c>
      <c r="H57" s="2">
        <v>21.36</v>
      </c>
      <c r="I57" s="2">
        <v>9.41</v>
      </c>
      <c r="J57" s="2">
        <v>0.94099999999999995</v>
      </c>
    </row>
    <row r="58" spans="1:10" ht="30" x14ac:dyDescent="0.25">
      <c r="A58" s="2" t="s">
        <v>68</v>
      </c>
      <c r="B58" s="2">
        <v>23.54</v>
      </c>
      <c r="C58" s="2">
        <v>58.85</v>
      </c>
      <c r="D58" s="2">
        <v>39.57</v>
      </c>
      <c r="E58" s="2">
        <v>98.93</v>
      </c>
      <c r="F58" s="2">
        <v>50.7</v>
      </c>
      <c r="G58" s="2">
        <v>126.75</v>
      </c>
      <c r="H58" s="2">
        <v>23.76</v>
      </c>
      <c r="I58" s="2">
        <v>11.86</v>
      </c>
      <c r="J58" s="2">
        <v>1.19</v>
      </c>
    </row>
    <row r="59" spans="1:10" x14ac:dyDescent="0.25">
      <c r="A59" s="2" t="s">
        <v>69</v>
      </c>
      <c r="B59" s="2">
        <v>20.62</v>
      </c>
      <c r="C59" s="2">
        <v>51.55</v>
      </c>
      <c r="D59" s="2">
        <v>33.44</v>
      </c>
      <c r="E59" s="2">
        <v>83.6</v>
      </c>
      <c r="F59" s="2">
        <v>55.5</v>
      </c>
      <c r="G59" s="2">
        <v>138.75</v>
      </c>
      <c r="H59" s="2">
        <v>23.17</v>
      </c>
      <c r="I59" s="2">
        <v>16.690000000000001</v>
      </c>
      <c r="J59" s="2">
        <v>1.67</v>
      </c>
    </row>
    <row r="60" spans="1:10" x14ac:dyDescent="0.25">
      <c r="A60" s="2" t="s">
        <v>70</v>
      </c>
      <c r="B60" s="2">
        <v>24.28</v>
      </c>
      <c r="C60" s="2">
        <v>60.7</v>
      </c>
      <c r="D60" s="2">
        <v>44.36</v>
      </c>
      <c r="E60" s="2">
        <v>110.9</v>
      </c>
      <c r="F60" s="2">
        <v>41.15</v>
      </c>
      <c r="G60" s="2">
        <v>102.88</v>
      </c>
      <c r="H60" s="2">
        <v>26.96</v>
      </c>
      <c r="I60" s="2">
        <v>15.54</v>
      </c>
      <c r="J60" s="2">
        <v>1.55</v>
      </c>
    </row>
    <row r="61" spans="1:10" x14ac:dyDescent="0.25">
      <c r="A61" s="2" t="s">
        <v>71</v>
      </c>
      <c r="B61" s="2">
        <v>35.19</v>
      </c>
      <c r="C61" s="2">
        <v>87.98</v>
      </c>
      <c r="D61" s="2">
        <v>46.86</v>
      </c>
      <c r="E61" s="2">
        <v>117.15</v>
      </c>
      <c r="F61" s="2">
        <v>57.93</v>
      </c>
      <c r="G61" s="2">
        <v>144.83000000000001</v>
      </c>
      <c r="H61" s="2">
        <v>32.01</v>
      </c>
      <c r="I61" s="2">
        <v>26.96</v>
      </c>
      <c r="J61" s="2">
        <v>2.7</v>
      </c>
    </row>
    <row r="62" spans="1:10" x14ac:dyDescent="0.25">
      <c r="A62" s="2" t="s">
        <v>72</v>
      </c>
      <c r="B62" s="2">
        <v>22.19</v>
      </c>
      <c r="C62" s="2">
        <v>55.48</v>
      </c>
      <c r="D62" s="2">
        <v>49.97</v>
      </c>
      <c r="E62" s="2">
        <v>124.93</v>
      </c>
      <c r="F62" s="2">
        <v>55.39</v>
      </c>
      <c r="G62" s="2">
        <v>138.47999999999999</v>
      </c>
      <c r="H62" s="2">
        <v>25.26</v>
      </c>
      <c r="I62" s="2">
        <v>16.03</v>
      </c>
      <c r="J62" s="2">
        <v>1.6</v>
      </c>
    </row>
    <row r="63" spans="1:10" x14ac:dyDescent="0.25">
      <c r="A63" s="2" t="s">
        <v>73</v>
      </c>
      <c r="B63" s="2">
        <v>23.35</v>
      </c>
      <c r="C63" s="2">
        <v>58.38</v>
      </c>
      <c r="D63" s="2">
        <v>50.3</v>
      </c>
      <c r="E63" s="2">
        <v>125.75</v>
      </c>
      <c r="F63" s="2">
        <v>37.08</v>
      </c>
      <c r="G63" s="2">
        <v>92.7</v>
      </c>
      <c r="H63" s="2">
        <v>21.07</v>
      </c>
      <c r="I63" s="2">
        <v>10.11</v>
      </c>
      <c r="J63" s="2">
        <v>1.01</v>
      </c>
    </row>
    <row r="64" spans="1:10" ht="30" x14ac:dyDescent="0.25">
      <c r="A64" s="2" t="s">
        <v>74</v>
      </c>
      <c r="B64" s="2">
        <v>28.45</v>
      </c>
      <c r="C64" s="2">
        <v>71.13</v>
      </c>
      <c r="D64" s="2">
        <v>50.99</v>
      </c>
      <c r="E64" s="2">
        <v>127.48</v>
      </c>
      <c r="F64" s="2">
        <v>51.19</v>
      </c>
      <c r="G64" s="2">
        <v>127.98</v>
      </c>
      <c r="H64" s="2">
        <v>29.68</v>
      </c>
      <c r="I64" s="2">
        <v>17.71</v>
      </c>
      <c r="J64" s="2">
        <v>1.77</v>
      </c>
    </row>
    <row r="65" spans="1:10" ht="30" x14ac:dyDescent="0.25">
      <c r="A65" s="2" t="s">
        <v>75</v>
      </c>
      <c r="B65" s="2">
        <v>23.02</v>
      </c>
      <c r="C65" s="2">
        <v>57.55</v>
      </c>
      <c r="D65" s="2">
        <v>45.02</v>
      </c>
      <c r="E65" s="2">
        <v>112.55</v>
      </c>
      <c r="F65" s="2">
        <v>85.27</v>
      </c>
      <c r="G65" s="2">
        <v>213.18</v>
      </c>
      <c r="H65" s="2">
        <v>26.71</v>
      </c>
      <c r="I65" s="2">
        <v>13.48</v>
      </c>
      <c r="J65" s="2">
        <v>1.35</v>
      </c>
    </row>
    <row r="66" spans="1:10" ht="60" x14ac:dyDescent="0.25">
      <c r="A66" s="2" t="s">
        <v>76</v>
      </c>
      <c r="B66" s="2">
        <v>25.39</v>
      </c>
      <c r="C66" s="2">
        <v>63.48</v>
      </c>
      <c r="D66" s="2">
        <v>33.5</v>
      </c>
      <c r="E66" s="2">
        <v>83.75</v>
      </c>
      <c r="F66" s="2">
        <v>42.61</v>
      </c>
      <c r="G66" s="2">
        <v>106.53</v>
      </c>
      <c r="H66" s="2">
        <v>29.23</v>
      </c>
      <c r="I66" s="2">
        <v>16.96</v>
      </c>
      <c r="J66" s="2">
        <v>1.7</v>
      </c>
    </row>
    <row r="67" spans="1:10" ht="45" x14ac:dyDescent="0.25">
      <c r="A67" s="2" t="s">
        <v>77</v>
      </c>
      <c r="B67" s="2">
        <v>25.48</v>
      </c>
      <c r="C67" s="2">
        <v>63.7</v>
      </c>
      <c r="D67" s="2">
        <v>45.84</v>
      </c>
      <c r="E67" s="2">
        <v>114.6</v>
      </c>
      <c r="F67" s="2">
        <v>62.1</v>
      </c>
      <c r="G67" s="2">
        <v>155.25</v>
      </c>
      <c r="H67" s="2">
        <v>37.24</v>
      </c>
      <c r="I67" s="2">
        <v>16.41</v>
      </c>
      <c r="J67" s="2">
        <v>1.64</v>
      </c>
    </row>
    <row r="68" spans="1:10" ht="60" x14ac:dyDescent="0.25">
      <c r="A68" s="2" t="s">
        <v>78</v>
      </c>
      <c r="B68" s="2">
        <v>25.83</v>
      </c>
      <c r="C68" s="2">
        <v>64.58</v>
      </c>
      <c r="D68" s="2">
        <v>45.15</v>
      </c>
      <c r="E68" s="2">
        <v>112.88</v>
      </c>
      <c r="F68" s="2">
        <v>52.93</v>
      </c>
      <c r="G68" s="2">
        <v>132.33000000000001</v>
      </c>
      <c r="H68" s="2">
        <v>34.49</v>
      </c>
      <c r="I68" s="2">
        <v>14.58</v>
      </c>
      <c r="J68" s="2">
        <v>1.46</v>
      </c>
    </row>
    <row r="69" spans="1:10" ht="30" x14ac:dyDescent="0.25">
      <c r="A69" s="2" t="s">
        <v>79</v>
      </c>
      <c r="B69" s="2">
        <v>27.66</v>
      </c>
      <c r="C69" s="2">
        <v>69.150000000000006</v>
      </c>
      <c r="D69" s="2">
        <v>34.21</v>
      </c>
      <c r="E69" s="2">
        <v>85.53</v>
      </c>
      <c r="F69" s="2">
        <v>67.55</v>
      </c>
      <c r="G69" s="2">
        <v>168.88</v>
      </c>
      <c r="H69" s="2">
        <v>24.91</v>
      </c>
      <c r="I69" s="2">
        <v>18.61</v>
      </c>
      <c r="J69" s="2">
        <v>1.86</v>
      </c>
    </row>
    <row r="70" spans="1:10" ht="30" x14ac:dyDescent="0.25">
      <c r="A70" s="2" t="s">
        <v>80</v>
      </c>
      <c r="B70" s="2">
        <v>21.98</v>
      </c>
      <c r="C70" s="2">
        <v>54.95</v>
      </c>
      <c r="D70" s="2">
        <v>33.28</v>
      </c>
      <c r="E70" s="2">
        <v>83.2</v>
      </c>
      <c r="F70" s="2">
        <v>73.3</v>
      </c>
      <c r="G70" s="2">
        <v>183.25</v>
      </c>
      <c r="H70" s="2">
        <v>25.6</v>
      </c>
      <c r="I70" s="2">
        <v>15.55</v>
      </c>
      <c r="J70" s="2">
        <v>1.56</v>
      </c>
    </row>
    <row r="71" spans="1:10" x14ac:dyDescent="0.25">
      <c r="A71" s="2" t="s">
        <v>81</v>
      </c>
      <c r="B71" s="2">
        <v>21.82</v>
      </c>
      <c r="C71" s="2">
        <v>54.55</v>
      </c>
      <c r="D71" s="2">
        <v>31.92</v>
      </c>
      <c r="E71" s="2">
        <v>79.8</v>
      </c>
      <c r="F71" s="2">
        <v>42.14</v>
      </c>
      <c r="G71" s="2">
        <v>105.35</v>
      </c>
      <c r="H71" s="2">
        <v>24.28</v>
      </c>
      <c r="I71" s="2">
        <v>19.36</v>
      </c>
      <c r="J71" s="2">
        <v>1.94</v>
      </c>
    </row>
    <row r="72" spans="1:10" ht="30" x14ac:dyDescent="0.25">
      <c r="A72" s="2" t="s">
        <v>82</v>
      </c>
      <c r="B72" s="2">
        <v>15.69</v>
      </c>
      <c r="C72" s="2">
        <v>39.229999999999997</v>
      </c>
      <c r="D72" s="2">
        <v>43.28</v>
      </c>
      <c r="E72" s="2">
        <v>108.2</v>
      </c>
      <c r="F72" s="2">
        <v>36.18</v>
      </c>
      <c r="G72" s="2">
        <v>90.45</v>
      </c>
      <c r="H72" s="2">
        <v>22.88</v>
      </c>
      <c r="I72" s="2">
        <v>8.33</v>
      </c>
      <c r="J72" s="2">
        <v>0.83299999999999996</v>
      </c>
    </row>
    <row r="73" spans="1:10" ht="30" x14ac:dyDescent="0.25">
      <c r="A73" s="2" t="s">
        <v>83</v>
      </c>
      <c r="B73" s="2">
        <v>22.78</v>
      </c>
      <c r="C73" s="2">
        <v>56.95</v>
      </c>
      <c r="D73" s="2">
        <v>44.78</v>
      </c>
      <c r="E73" s="2">
        <v>111.95</v>
      </c>
      <c r="F73" s="2">
        <v>45.47</v>
      </c>
      <c r="G73" s="2">
        <v>113.68</v>
      </c>
      <c r="H73" s="2">
        <v>24.9</v>
      </c>
      <c r="I73" s="2">
        <v>12.86</v>
      </c>
      <c r="J73" s="2">
        <v>1.29</v>
      </c>
    </row>
    <row r="74" spans="1:10" x14ac:dyDescent="0.25">
      <c r="A74" s="2" t="s">
        <v>84</v>
      </c>
      <c r="B74" s="2">
        <v>24.34</v>
      </c>
      <c r="C74" s="2">
        <v>60.85</v>
      </c>
      <c r="D74" s="2">
        <v>46.38</v>
      </c>
      <c r="E74" s="2">
        <v>115.95</v>
      </c>
      <c r="F74" s="2">
        <v>40.39</v>
      </c>
      <c r="G74" s="2">
        <v>100.98</v>
      </c>
      <c r="H74" s="2">
        <v>25.8</v>
      </c>
      <c r="I74" s="2">
        <v>16.46</v>
      </c>
      <c r="J74" s="2">
        <v>1.65</v>
      </c>
    </row>
    <row r="75" spans="1:10" x14ac:dyDescent="0.25">
      <c r="A75" s="2" t="s">
        <v>85</v>
      </c>
      <c r="B75" s="2">
        <v>19.899999999999999</v>
      </c>
      <c r="C75" s="2">
        <v>49.75</v>
      </c>
      <c r="D75" s="2">
        <v>35.549999999999997</v>
      </c>
      <c r="E75" s="2">
        <v>88.88</v>
      </c>
      <c r="F75" s="2">
        <v>100.29</v>
      </c>
      <c r="G75" s="2">
        <v>250.73</v>
      </c>
      <c r="H75" s="2">
        <v>32.07</v>
      </c>
      <c r="I75" s="2">
        <v>15.48</v>
      </c>
      <c r="J75" s="2">
        <v>1.55</v>
      </c>
    </row>
    <row r="76" spans="1:10" ht="30" x14ac:dyDescent="0.25">
      <c r="A76" s="2" t="s">
        <v>86</v>
      </c>
      <c r="B76" s="2">
        <v>24.37</v>
      </c>
      <c r="C76" s="2">
        <v>60.93</v>
      </c>
      <c r="D76" s="2">
        <v>30.86</v>
      </c>
      <c r="E76" s="2">
        <v>77.150000000000006</v>
      </c>
      <c r="F76" s="2">
        <v>69.5</v>
      </c>
      <c r="G76" s="2">
        <v>173.75</v>
      </c>
      <c r="H76" s="2">
        <v>25.09</v>
      </c>
      <c r="I76" s="2">
        <v>18.97</v>
      </c>
      <c r="J76" s="2">
        <v>1.9</v>
      </c>
    </row>
    <row r="77" spans="1:10" ht="30" x14ac:dyDescent="0.25">
      <c r="A77" s="2" t="s">
        <v>87</v>
      </c>
      <c r="B77" s="2">
        <v>22.66</v>
      </c>
      <c r="C77" s="2">
        <v>56.65</v>
      </c>
      <c r="D77" s="2">
        <v>52.49</v>
      </c>
      <c r="E77" s="2">
        <v>131.22999999999999</v>
      </c>
      <c r="F77" s="2">
        <v>43.35</v>
      </c>
      <c r="G77" s="2">
        <v>108.38</v>
      </c>
      <c r="H77" s="2">
        <v>25.45</v>
      </c>
      <c r="I77" s="2">
        <v>16.21</v>
      </c>
      <c r="J77" s="2">
        <v>1.62</v>
      </c>
    </row>
    <row r="78" spans="1:10" ht="30" x14ac:dyDescent="0.25">
      <c r="A78" s="2" t="s">
        <v>88</v>
      </c>
      <c r="B78" s="2">
        <v>25.6</v>
      </c>
      <c r="C78" s="2">
        <v>64</v>
      </c>
      <c r="D78" s="2">
        <v>43.7</v>
      </c>
      <c r="E78" s="2">
        <v>109.25</v>
      </c>
      <c r="F78" s="2">
        <v>66.7</v>
      </c>
      <c r="G78" s="2">
        <v>166.75</v>
      </c>
      <c r="H78" s="2">
        <v>26.19</v>
      </c>
      <c r="I78" s="2">
        <v>14.85</v>
      </c>
      <c r="J78" s="2">
        <v>1.49</v>
      </c>
    </row>
    <row r="79" spans="1:10" x14ac:dyDescent="0.25">
      <c r="A79" s="2" t="s">
        <v>89</v>
      </c>
      <c r="B79" s="2">
        <v>24.82</v>
      </c>
      <c r="C79" s="2">
        <v>62.05</v>
      </c>
      <c r="D79" s="2">
        <v>51.42</v>
      </c>
      <c r="E79" s="2">
        <v>128.55000000000001</v>
      </c>
      <c r="F79" s="2">
        <v>41.95</v>
      </c>
      <c r="G79" s="2">
        <v>104.88</v>
      </c>
      <c r="H79" s="2">
        <v>24.34</v>
      </c>
      <c r="I79" s="2">
        <v>14.38</v>
      </c>
      <c r="J79" s="2">
        <v>1.44</v>
      </c>
    </row>
    <row r="80" spans="1:10" x14ac:dyDescent="0.25">
      <c r="A80" s="2" t="s">
        <v>90</v>
      </c>
      <c r="B80" s="2">
        <v>21.43</v>
      </c>
      <c r="C80" s="2">
        <v>53.58</v>
      </c>
      <c r="D80" s="2">
        <v>57.98</v>
      </c>
      <c r="E80" s="2">
        <v>144.94999999999999</v>
      </c>
      <c r="F80" s="2">
        <v>83.43</v>
      </c>
      <c r="G80" s="2">
        <v>208.58</v>
      </c>
      <c r="H80" s="2">
        <v>34.31</v>
      </c>
      <c r="I80" s="2">
        <v>11.98</v>
      </c>
      <c r="J80" s="2">
        <v>1.2</v>
      </c>
    </row>
    <row r="81" spans="1:10" ht="30" x14ac:dyDescent="0.25">
      <c r="A81" s="2" t="s">
        <v>91</v>
      </c>
      <c r="B81" s="2">
        <v>19.98</v>
      </c>
      <c r="C81" s="2">
        <v>49.95</v>
      </c>
      <c r="D81" s="2">
        <v>59.98</v>
      </c>
      <c r="E81" s="2">
        <v>149.94999999999999</v>
      </c>
      <c r="F81" s="2">
        <v>121.75</v>
      </c>
      <c r="G81" s="2">
        <v>304.38</v>
      </c>
      <c r="H81" s="2">
        <v>33.119999999999997</v>
      </c>
      <c r="I81" s="2">
        <v>13.27</v>
      </c>
      <c r="J81" s="2">
        <v>1.33</v>
      </c>
    </row>
    <row r="82" spans="1:10" x14ac:dyDescent="0.25">
      <c r="A82" s="2" t="s">
        <v>92</v>
      </c>
      <c r="B82" s="2">
        <v>22.15</v>
      </c>
      <c r="C82" s="2">
        <v>55.38</v>
      </c>
      <c r="D82" s="2">
        <v>40.97</v>
      </c>
      <c r="E82" s="2">
        <v>102.43</v>
      </c>
      <c r="F82" s="2">
        <v>71.069999999999993</v>
      </c>
      <c r="G82" s="2">
        <v>177.68</v>
      </c>
      <c r="H82" s="2">
        <v>30.63</v>
      </c>
      <c r="I82" s="2">
        <v>15.76</v>
      </c>
      <c r="J82" s="2">
        <v>1.58</v>
      </c>
    </row>
    <row r="83" spans="1:10" ht="30" x14ac:dyDescent="0.25">
      <c r="A83" s="2" t="s">
        <v>93</v>
      </c>
      <c r="B83" s="2">
        <v>21.43</v>
      </c>
      <c r="C83" s="2">
        <v>53.58</v>
      </c>
      <c r="D83" s="2">
        <v>38.65</v>
      </c>
      <c r="E83" s="2">
        <v>96.63</v>
      </c>
      <c r="F83" s="2">
        <v>56.3</v>
      </c>
      <c r="G83" s="2">
        <v>140.75</v>
      </c>
      <c r="H83" s="2">
        <v>35.1</v>
      </c>
      <c r="I83" s="2">
        <v>12.37</v>
      </c>
      <c r="J83" s="2">
        <v>1.24</v>
      </c>
    </row>
    <row r="84" spans="1:10" x14ac:dyDescent="0.25">
      <c r="A84" s="2" t="s">
        <v>94</v>
      </c>
      <c r="B84" s="2">
        <v>26.29</v>
      </c>
      <c r="C84" s="2">
        <v>65.73</v>
      </c>
      <c r="D84" s="2">
        <v>40.119999999999997</v>
      </c>
      <c r="E84" s="2">
        <v>100.3</v>
      </c>
      <c r="F84" s="2">
        <v>49.27</v>
      </c>
      <c r="G84" s="2">
        <v>123.18</v>
      </c>
      <c r="H84" s="2">
        <v>25.04</v>
      </c>
      <c r="I84" s="2">
        <v>16.84</v>
      </c>
      <c r="J84" s="2">
        <v>1.68</v>
      </c>
    </row>
    <row r="85" spans="1:10" x14ac:dyDescent="0.25">
      <c r="A85" s="2" t="s">
        <v>95</v>
      </c>
      <c r="B85" s="2">
        <v>24.59</v>
      </c>
      <c r="C85" s="2">
        <v>61.48</v>
      </c>
      <c r="D85" s="2">
        <v>44.52</v>
      </c>
      <c r="E85" s="2">
        <v>111.3</v>
      </c>
      <c r="F85" s="2">
        <v>44.37</v>
      </c>
      <c r="G85" s="2">
        <v>110.93</v>
      </c>
      <c r="H85" s="2">
        <v>24.87</v>
      </c>
      <c r="I85" s="2">
        <v>17.75</v>
      </c>
      <c r="J85" s="2">
        <v>1.78</v>
      </c>
    </row>
    <row r="86" spans="1:10" ht="30" x14ac:dyDescent="0.25">
      <c r="A86" s="2" t="s">
        <v>96</v>
      </c>
      <c r="B86" s="2">
        <v>24.28</v>
      </c>
      <c r="C86" s="2">
        <v>60.7</v>
      </c>
      <c r="D86" s="2">
        <v>43.68</v>
      </c>
      <c r="E86" s="2">
        <v>109.2</v>
      </c>
      <c r="F86" s="2">
        <v>78.88</v>
      </c>
      <c r="G86" s="2">
        <v>197.2</v>
      </c>
      <c r="H86" s="2">
        <v>27.05</v>
      </c>
      <c r="I86" s="2">
        <v>15.64</v>
      </c>
      <c r="J86" s="2">
        <v>1.56</v>
      </c>
    </row>
    <row r="87" spans="1:10" x14ac:dyDescent="0.25">
      <c r="A87" s="2" t="s">
        <v>97</v>
      </c>
      <c r="B87" s="2">
        <v>25.86</v>
      </c>
      <c r="C87" s="2">
        <v>64.650000000000006</v>
      </c>
      <c r="D87" s="2">
        <v>46.55</v>
      </c>
      <c r="E87" s="2">
        <v>116.38</v>
      </c>
      <c r="F87" s="2">
        <v>30.34</v>
      </c>
      <c r="G87" s="2">
        <v>75.849999999999994</v>
      </c>
      <c r="H87" s="2">
        <v>24.66</v>
      </c>
      <c r="I87" s="2">
        <v>20.77</v>
      </c>
      <c r="J87" s="2">
        <v>2.08</v>
      </c>
    </row>
    <row r="88" spans="1:10" x14ac:dyDescent="0.25">
      <c r="A88" s="2" t="s">
        <v>98</v>
      </c>
      <c r="B88" s="2">
        <v>23.12</v>
      </c>
      <c r="C88" s="2">
        <v>57.8</v>
      </c>
      <c r="D88" s="2">
        <v>46.19</v>
      </c>
      <c r="E88" s="2">
        <v>115.48</v>
      </c>
      <c r="F88" s="2">
        <v>47.94</v>
      </c>
      <c r="G88" s="2">
        <v>119.85</v>
      </c>
      <c r="H88" s="2">
        <v>25.05</v>
      </c>
      <c r="I88" s="2">
        <v>16.16</v>
      </c>
      <c r="J88" s="2">
        <v>1.62</v>
      </c>
    </row>
    <row r="89" spans="1:10" ht="45" x14ac:dyDescent="0.25">
      <c r="A89" s="2" t="s">
        <v>99</v>
      </c>
      <c r="B89" s="2">
        <v>19.989999999999998</v>
      </c>
      <c r="C89" s="2">
        <v>49.98</v>
      </c>
      <c r="D89" s="2">
        <v>38.46</v>
      </c>
      <c r="E89" s="2">
        <v>96.15</v>
      </c>
      <c r="F89" s="2">
        <v>53.61</v>
      </c>
      <c r="G89" s="2">
        <v>134.03</v>
      </c>
      <c r="H89" s="2">
        <v>30.5</v>
      </c>
      <c r="I89" s="2">
        <v>13.59</v>
      </c>
      <c r="J89" s="2">
        <v>1.36</v>
      </c>
    </row>
    <row r="90" spans="1:10" x14ac:dyDescent="0.25">
      <c r="A90" s="2" t="s">
        <v>100</v>
      </c>
      <c r="B90" s="2">
        <v>20.32</v>
      </c>
      <c r="C90" s="2">
        <v>50.8</v>
      </c>
      <c r="D90" s="2">
        <v>20.5</v>
      </c>
      <c r="E90" s="2">
        <v>51.25</v>
      </c>
      <c r="F90" s="2">
        <v>25.31</v>
      </c>
      <c r="G90" s="2">
        <v>63.28</v>
      </c>
      <c r="H90" s="2">
        <v>16.52</v>
      </c>
      <c r="I90" s="2">
        <v>16.28</v>
      </c>
      <c r="J90" s="2">
        <v>1.63</v>
      </c>
    </row>
    <row r="91" spans="1:10" ht="30" x14ac:dyDescent="0.25">
      <c r="A91" s="2" t="s">
        <v>101</v>
      </c>
      <c r="B91" s="2">
        <v>22.24</v>
      </c>
      <c r="C91" s="2">
        <v>55.6</v>
      </c>
      <c r="D91" s="2">
        <v>46.82</v>
      </c>
      <c r="E91" s="2">
        <v>117.05</v>
      </c>
      <c r="F91" s="2">
        <v>55.27</v>
      </c>
      <c r="G91" s="2">
        <v>138.18</v>
      </c>
      <c r="H91" s="2">
        <v>25.77</v>
      </c>
      <c r="I91" s="2">
        <v>15.3</v>
      </c>
      <c r="J91" s="2">
        <v>1.53</v>
      </c>
    </row>
    <row r="92" spans="1:10" ht="30" x14ac:dyDescent="0.25">
      <c r="A92" s="2" t="s">
        <v>102</v>
      </c>
      <c r="B92" s="2">
        <v>19.260000000000002</v>
      </c>
      <c r="C92" s="2">
        <v>48.15</v>
      </c>
      <c r="D92" s="2">
        <v>31.54</v>
      </c>
      <c r="E92" s="2">
        <v>78.849999999999994</v>
      </c>
      <c r="F92" s="2">
        <v>61.32</v>
      </c>
      <c r="G92" s="2">
        <v>153.30000000000001</v>
      </c>
      <c r="H92" s="2">
        <v>22.62</v>
      </c>
      <c r="I92" s="2">
        <v>12.66</v>
      </c>
      <c r="J92" s="2">
        <v>1.27</v>
      </c>
    </row>
    <row r="93" spans="1:10" ht="30" x14ac:dyDescent="0.25">
      <c r="A93" s="2" t="s">
        <v>103</v>
      </c>
      <c r="B93" s="2">
        <v>23.84</v>
      </c>
      <c r="C93" s="2">
        <v>59.6</v>
      </c>
      <c r="D93" s="2">
        <v>39.21</v>
      </c>
      <c r="E93" s="2">
        <v>98.03</v>
      </c>
      <c r="F93" s="2">
        <v>69.92</v>
      </c>
      <c r="G93" s="2">
        <v>174.8</v>
      </c>
      <c r="H93" s="2">
        <v>26.4</v>
      </c>
      <c r="I93" s="2">
        <v>16.899999999999999</v>
      </c>
      <c r="J93" s="2">
        <v>1.69</v>
      </c>
    </row>
    <row r="94" spans="1:10" ht="30" x14ac:dyDescent="0.25">
      <c r="A94" s="2" t="s">
        <v>104</v>
      </c>
      <c r="B94" s="2">
        <v>17.899999999999999</v>
      </c>
      <c r="C94" s="2">
        <v>44.75</v>
      </c>
      <c r="D94" s="2">
        <v>22.57</v>
      </c>
      <c r="E94" s="2">
        <v>56.43</v>
      </c>
      <c r="F94" s="2">
        <v>22.88</v>
      </c>
      <c r="G94" s="2">
        <v>57.2</v>
      </c>
      <c r="H94" s="2">
        <v>22.38</v>
      </c>
      <c r="I94" s="2">
        <v>17.899999999999999</v>
      </c>
      <c r="J94" s="2">
        <v>1.79</v>
      </c>
    </row>
    <row r="95" spans="1:10" ht="45" x14ac:dyDescent="0.25">
      <c r="A95" s="2" t="s">
        <v>105</v>
      </c>
      <c r="B95" s="2">
        <v>25.7</v>
      </c>
      <c r="C95" s="2">
        <v>64.25</v>
      </c>
      <c r="D95" s="2">
        <v>39.869999999999997</v>
      </c>
      <c r="E95" s="2">
        <v>99.68</v>
      </c>
      <c r="F95" s="2">
        <v>46.84</v>
      </c>
      <c r="G95" s="2">
        <v>117.1</v>
      </c>
      <c r="H95" s="2">
        <v>36.43</v>
      </c>
      <c r="I95" s="2">
        <v>25.7</v>
      </c>
      <c r="J95" s="2">
        <v>2.57</v>
      </c>
    </row>
    <row r="96" spans="1:10" ht="30" x14ac:dyDescent="0.25">
      <c r="A96" s="2" t="s">
        <v>106</v>
      </c>
      <c r="B96" s="2">
        <v>24.53</v>
      </c>
      <c r="C96" s="2">
        <v>61.33</v>
      </c>
      <c r="D96" s="2">
        <v>37.119999999999997</v>
      </c>
      <c r="E96" s="2">
        <v>92.8</v>
      </c>
      <c r="F96" s="2">
        <v>60.35</v>
      </c>
      <c r="G96" s="2">
        <v>150.88</v>
      </c>
      <c r="H96" s="2">
        <v>33.01</v>
      </c>
      <c r="I96" s="2">
        <v>24.53</v>
      </c>
      <c r="J96" s="2">
        <v>2.4500000000000002</v>
      </c>
    </row>
    <row r="97" spans="1:10" ht="30" x14ac:dyDescent="0.25">
      <c r="A97" s="2" t="s">
        <v>107</v>
      </c>
      <c r="B97" s="2">
        <v>22.5</v>
      </c>
      <c r="C97" s="2">
        <v>56.25</v>
      </c>
      <c r="D97" s="2">
        <v>40.99</v>
      </c>
      <c r="E97" s="2">
        <v>102.48</v>
      </c>
      <c r="F97" s="2">
        <v>69.010000000000005</v>
      </c>
      <c r="G97" s="2">
        <v>172.53</v>
      </c>
      <c r="H97" s="2">
        <v>25.54</v>
      </c>
      <c r="I97" s="2">
        <v>17.45</v>
      </c>
      <c r="J97" s="2">
        <v>1.75</v>
      </c>
    </row>
    <row r="98" spans="1:10" ht="45" x14ac:dyDescent="0.25">
      <c r="A98" s="2" t="s">
        <v>108</v>
      </c>
      <c r="B98" s="2">
        <v>29</v>
      </c>
      <c r="C98" s="2">
        <v>72.5</v>
      </c>
      <c r="D98" s="2">
        <v>54.63</v>
      </c>
      <c r="E98" s="2">
        <v>136.58000000000001</v>
      </c>
      <c r="F98" s="2">
        <v>74.7</v>
      </c>
      <c r="G98" s="2">
        <v>186.75</v>
      </c>
      <c r="H98" s="2">
        <v>25.01</v>
      </c>
      <c r="I98" s="2">
        <v>22.32</v>
      </c>
      <c r="J98" s="2">
        <v>2.23</v>
      </c>
    </row>
    <row r="99" spans="1:10" ht="45" x14ac:dyDescent="0.25">
      <c r="A99" s="2" t="s">
        <v>109</v>
      </c>
      <c r="B99" s="2">
        <v>28.52</v>
      </c>
      <c r="C99" s="2">
        <v>71.3</v>
      </c>
      <c r="D99" s="2">
        <v>48.73</v>
      </c>
      <c r="E99" s="2">
        <v>121.83</v>
      </c>
      <c r="F99" s="2">
        <v>26.76</v>
      </c>
      <c r="G99" s="2">
        <v>66.900000000000006</v>
      </c>
      <c r="H99" s="2">
        <v>22.13</v>
      </c>
      <c r="I99" s="2">
        <v>19.690000000000001</v>
      </c>
      <c r="J99" s="2">
        <v>1.97</v>
      </c>
    </row>
    <row r="100" spans="1:10" ht="30" x14ac:dyDescent="0.25">
      <c r="A100" s="2" t="s">
        <v>110</v>
      </c>
      <c r="B100" s="2">
        <v>28.51</v>
      </c>
      <c r="C100" s="2">
        <v>71.28</v>
      </c>
      <c r="D100" s="2">
        <v>64.61</v>
      </c>
      <c r="E100" s="2">
        <v>161.53</v>
      </c>
      <c r="F100" s="2">
        <v>64.88</v>
      </c>
      <c r="G100" s="2">
        <v>162.19999999999999</v>
      </c>
      <c r="H100" s="2">
        <v>26.24</v>
      </c>
      <c r="I100" s="2">
        <v>23.22</v>
      </c>
      <c r="J100" s="2">
        <v>2.3199999999999998</v>
      </c>
    </row>
    <row r="101" spans="1:10" ht="30" x14ac:dyDescent="0.25">
      <c r="A101" s="2" t="s">
        <v>111</v>
      </c>
      <c r="B101" s="2">
        <v>27.41</v>
      </c>
      <c r="C101" s="2">
        <v>68.53</v>
      </c>
      <c r="D101" s="2">
        <v>44.13</v>
      </c>
      <c r="E101" s="2">
        <v>110.33</v>
      </c>
      <c r="F101" s="2">
        <v>32.380000000000003</v>
      </c>
      <c r="G101" s="2">
        <v>80.95</v>
      </c>
      <c r="H101" s="2">
        <v>25.68</v>
      </c>
      <c r="I101" s="2">
        <v>21.73</v>
      </c>
      <c r="J101" s="2">
        <v>2.17</v>
      </c>
    </row>
    <row r="102" spans="1:10" ht="30" x14ac:dyDescent="0.25">
      <c r="A102" s="2" t="s">
        <v>112</v>
      </c>
      <c r="B102" s="2">
        <v>31.03</v>
      </c>
      <c r="C102" s="2">
        <v>77.58</v>
      </c>
      <c r="D102" s="2">
        <v>18.12</v>
      </c>
      <c r="E102" s="2">
        <v>45.3</v>
      </c>
      <c r="F102" s="2">
        <v>7.77</v>
      </c>
      <c r="G102" s="2">
        <v>19.43</v>
      </c>
      <c r="H102" s="2">
        <v>20.75</v>
      </c>
      <c r="I102" s="2">
        <v>25.04</v>
      </c>
      <c r="J102" s="2">
        <v>2.5</v>
      </c>
    </row>
    <row r="103" spans="1:10" x14ac:dyDescent="0.25">
      <c r="A103" s="3" t="s">
        <v>113</v>
      </c>
      <c r="B103" s="3">
        <v>23.67</v>
      </c>
      <c r="C103" s="3">
        <v>59.18</v>
      </c>
      <c r="D103" s="3">
        <v>39.79</v>
      </c>
      <c r="E103" s="3">
        <v>99.48</v>
      </c>
      <c r="F103" s="3">
        <v>51.19</v>
      </c>
      <c r="G103" s="3">
        <v>127.98</v>
      </c>
      <c r="H103" s="3">
        <v>26.95</v>
      </c>
      <c r="I103" s="3">
        <v>16.28</v>
      </c>
      <c r="J103" s="3">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7DDB9-FBC4-4659-BD24-E5226AB7FF61}">
  <dimension ref="A1:C5"/>
  <sheetViews>
    <sheetView topLeftCell="A3" workbookViewId="0">
      <selection activeCell="C4" sqref="C4"/>
    </sheetView>
  </sheetViews>
  <sheetFormatPr baseColWidth="10" defaultRowHeight="15" x14ac:dyDescent="0.25"/>
  <sheetData>
    <row r="1" spans="1:3" ht="30" x14ac:dyDescent="0.25">
      <c r="A1" s="1" t="s">
        <v>114</v>
      </c>
      <c r="B1" s="1" t="s">
        <v>115</v>
      </c>
      <c r="C1" s="1" t="s">
        <v>116</v>
      </c>
    </row>
    <row r="2" spans="1:3" ht="45" x14ac:dyDescent="0.25">
      <c r="A2" s="2" t="s">
        <v>117</v>
      </c>
      <c r="B2" s="4">
        <v>23.67</v>
      </c>
      <c r="C2" s="4">
        <v>59.18</v>
      </c>
    </row>
    <row r="3" spans="1:3" ht="90" x14ac:dyDescent="0.25">
      <c r="A3" s="2" t="s">
        <v>118</v>
      </c>
      <c r="B3" s="4">
        <v>39.79</v>
      </c>
      <c r="C3" s="4">
        <v>99.48</v>
      </c>
    </row>
    <row r="4" spans="1:3" ht="90" x14ac:dyDescent="0.25">
      <c r="A4" s="2" t="s">
        <v>119</v>
      </c>
      <c r="B4" s="4">
        <v>51.19</v>
      </c>
      <c r="C4" s="4">
        <v>127.98</v>
      </c>
    </row>
    <row r="5" spans="1:3" ht="75" x14ac:dyDescent="0.25">
      <c r="A5" s="2" t="s">
        <v>120</v>
      </c>
      <c r="B5" s="4">
        <v>26.95</v>
      </c>
      <c r="C5" s="4">
        <v>53.9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1_Simulation produit communal</vt:lpstr>
      <vt:lpstr>2_Synthese</vt:lpstr>
      <vt:lpstr>3_Simulation sur contribuable</vt:lpstr>
      <vt:lpstr>Taux départementaux</vt:lpstr>
      <vt:lpstr>Taux nationaux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Le mons</dc:creator>
  <cp:lastModifiedBy>johann Le mons</cp:lastModifiedBy>
  <dcterms:created xsi:type="dcterms:W3CDTF">2026-05-23T14:09:54Z</dcterms:created>
  <dcterms:modified xsi:type="dcterms:W3CDTF">2026-06-21T16:44:57Z</dcterms:modified>
</cp:coreProperties>
</file>