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charts/chart7.xml" ContentType="application/vnd.openxmlformats-officedocument.drawingml.chart+xml"/>
  <Override PartName="/xl/charts/style7.xml" ContentType="application/vnd.ms-office.chartstyle+xml"/>
  <Override PartName="/xl/charts/colors7.xml" ContentType="application/vnd.ms-office.chartcolorstyle+xml"/>
  <Override PartName="/xl/charts/chart8.xml" ContentType="application/vnd.openxmlformats-officedocument.drawingml.chart+xml"/>
  <Override PartName="/xl/charts/style8.xml" ContentType="application/vnd.ms-office.chartstyle+xml"/>
  <Override PartName="/xl/charts/colors8.xml" ContentType="application/vnd.ms-office.chartcolorstyle+xml"/>
  <Override PartName="/xl/drawings/drawing7.xml" ContentType="application/vnd.openxmlformats-officedocument.drawing+xml"/>
  <Override PartName="/xl/charts/chart9.xml" ContentType="application/vnd.openxmlformats-officedocument.drawingml.chart+xml"/>
  <Override PartName="/xl/charts/style9.xml" ContentType="application/vnd.ms-office.chartstyle+xml"/>
  <Override PartName="/xl/charts/colors9.xml" ContentType="application/vnd.ms-office.chartcolorstyle+xml"/>
  <Override PartName="/xl/charts/chart10.xml" ContentType="application/vnd.openxmlformats-officedocument.drawingml.chart+xml"/>
  <Override PartName="/xl/charts/style10.xml" ContentType="application/vnd.ms-office.chartstyle+xml"/>
  <Override PartName="/xl/charts/colors10.xml" ContentType="application/vnd.ms-office.chartcolorstyle+xml"/>
  <Override PartName="/xl/charts/chart11.xml" ContentType="application/vnd.openxmlformats-officedocument.drawingml.chart+xml"/>
  <Override PartName="/xl/charts/style11.xml" ContentType="application/vnd.ms-office.chartstyle+xml"/>
  <Override PartName="/xl/charts/colors11.xml" ContentType="application/vnd.ms-office.chartcolorstyle+xml"/>
  <Override PartName="/xl/charts/chart12.xml" ContentType="application/vnd.openxmlformats-officedocument.drawingml.chart+xml"/>
  <Override PartName="/xl/charts/style12.xml" ContentType="application/vnd.ms-office.chartstyle+xml"/>
  <Override PartName="/xl/charts/colors12.xml" ContentType="application/vnd.ms-office.chartcolorstyle+xml"/>
  <Override PartName="/xl/charts/chart13.xml" ContentType="application/vnd.openxmlformats-officedocument.drawingml.chart+xml"/>
  <Override PartName="/xl/charts/style13.xml" ContentType="application/vnd.ms-office.chartstyle+xml"/>
  <Override PartName="/xl/charts/colors13.xml" ContentType="application/vnd.ms-office.chartcolorstyle+xml"/>
  <Override PartName="/xl/charts/chart14.xml" ContentType="application/vnd.openxmlformats-officedocument.drawingml.chart+xml"/>
  <Override PartName="/xl/charts/style14.xml" ContentType="application/vnd.ms-office.chartstyle+xml"/>
  <Override PartName="/xl/charts/colors14.xml" ContentType="application/vnd.ms-office.chartcolorstyle+xml"/>
  <Override PartName="/xl/charts/chart15.xml" ContentType="application/vnd.openxmlformats-officedocument.drawingml.chart+xml"/>
  <Override PartName="/xl/charts/style15.xml" ContentType="application/vnd.ms-office.chartstyle+xml"/>
  <Override PartName="/xl/charts/colors15.xml" ContentType="application/vnd.ms-office.chartcolorstyle+xml"/>
  <Override PartName="/xl/charts/chart16.xml" ContentType="application/vnd.openxmlformats-officedocument.drawingml.chart+xml"/>
  <Override PartName="/xl/charts/style16.xml" ContentType="application/vnd.ms-office.chartstyle+xml"/>
  <Override PartName="/xl/charts/colors16.xml" ContentType="application/vnd.ms-office.chartcolorstyle+xml"/>
  <Override PartName="/xl/charts/chart17.xml" ContentType="application/vnd.openxmlformats-officedocument.drawingml.chart+xml"/>
  <Override PartName="/xl/charts/style17.xml" ContentType="application/vnd.ms-office.chartstyle+xml"/>
  <Override PartName="/xl/charts/colors17.xml" ContentType="application/vnd.ms-office.chartcolorstyle+xml"/>
  <Override PartName="/xl/charts/chart18.xml" ContentType="application/vnd.openxmlformats-officedocument.drawingml.chart+xml"/>
  <Override PartName="/xl/charts/style18.xml" ContentType="application/vnd.ms-office.chartstyle+xml"/>
  <Override PartName="/xl/charts/colors18.xml" ContentType="application/vnd.ms-office.chartcolorstyle+xml"/>
  <Override PartName="/xl/drawings/drawing8.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32"/>
  <workbookPr codeName="ThisWorkbook" defaultThemeVersion="166925"/>
  <mc:AlternateContent xmlns:mc="http://schemas.openxmlformats.org/markup-compatibility/2006">
    <mc:Choice Requires="x15">
      <x15ac:absPath xmlns:x15ac="http://schemas.microsoft.com/office/spreadsheetml/2010/11/ac" url="C:\Users\Johann\Documents\"/>
    </mc:Choice>
  </mc:AlternateContent>
  <xr:revisionPtr revIDLastSave="0" documentId="13_ncr:1_{C7636B39-B5BB-41E6-8B26-F96E66EAC672}" xr6:coauthVersionLast="47" xr6:coauthVersionMax="47" xr10:uidLastSave="{00000000-0000-0000-0000-000000000000}"/>
  <workbookProtection workbookAlgorithmName="SHA-512" workbookHashValue="2gd2GLiVaiSJSE1qtRzzYaAcZU3JXXdEYeJZoags7FF1iwxMkZf4Wdez3Mjcelcl4gKoYvDGIdqbMOUY4lk/SQ==" workbookSaltValue="yurlO6NktCZsZxUJxRdIVQ==" workbookSpinCount="100000" lockStructure="1"/>
  <bookViews>
    <workbookView xWindow="-110" yWindow="-110" windowWidth="19420" windowHeight="10300" xr2:uid="{789A7446-DD5D-4324-B5D2-5BC5502F5765}"/>
  </bookViews>
  <sheets>
    <sheet name="1-Informations-paramètres " sheetId="1" r:id="rId1"/>
    <sheet name="2-Section de Fonctionnement" sheetId="2" r:id="rId2"/>
    <sheet name="3-Variations du fonctionnement" sheetId="3" r:id="rId3"/>
    <sheet name="4-Section d'Investissement" sheetId="7" r:id="rId4"/>
    <sheet name="5-Recours à la dette " sheetId="6" r:id="rId5"/>
    <sheet name="6-Synthèse" sheetId="4" r:id="rId6"/>
    <sheet name="7-Graphiques" sheetId="9" r:id="rId7"/>
    <sheet name="8-Autres enjeux annexes" sheetId="8" r:id="rId8"/>
  </sheets>
  <definedNames>
    <definedName name="Liste_Combinee">union('1-Informations-paramètres '!$A$21,'1-Informations-paramètres '!$B$23:$B$35)</definedName>
    <definedName name="Scénario_Evolution">'3-Variations du fonctionnement'!$A$3:$H$13</definedName>
    <definedName name="_xlnm.Print_Area" localSheetId="0">'1-Informations-paramètres '!$A$1:$F$51</definedName>
    <definedName name="_xlnm.Print_Area" localSheetId="2">'3-Variations du fonctionnement'!$A$1:$P$37</definedName>
    <definedName name="_xlnm.Print_Area" localSheetId="4">'5-Recours à la dette '!$A$1:$K$45</definedName>
    <definedName name="_xlnm.Print_Area" localSheetId="5">'6-Synthèse'!$A$1:$D$67</definedName>
    <definedName name="_xlnm.Print_Area" localSheetId="6">'7-Graphiques'!$A$1:$J$79</definedName>
    <definedName name="_xlnm.Print_Area" localSheetId="7">'8-Autres enjeux annexes'!$A$1:$H$32</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L54" i="7" l="1"/>
  <c r="K54" i="7"/>
  <c r="J54" i="7"/>
  <c r="I54" i="7"/>
  <c r="H54" i="7"/>
  <c r="G54" i="7"/>
  <c r="E54" i="7"/>
  <c r="D54" i="7"/>
  <c r="C54" i="7"/>
  <c r="B54" i="7" l="1"/>
  <c r="A25" i="4"/>
  <c r="A60" i="4"/>
  <c r="A37" i="8" a="1"/>
  <c r="A37" i="8"/>
  <c r="A1" i="9"/>
  <c r="A2" i="9"/>
  <c r="A7" i="4"/>
  <c r="F50" i="1"/>
  <c r="A37" i="4"/>
  <c r="A36" i="4"/>
  <c r="A1" i="3"/>
  <c r="A6" i="4"/>
  <c r="A1" i="7"/>
  <c r="A1" i="2"/>
  <c r="A1" i="4"/>
  <c r="B39" i="8" a="1"/>
  <c r="B39" i="8"/>
  <c r="B38" i="8" a="1"/>
  <c r="B38" i="8"/>
  <c r="B37" i="8" a="1"/>
  <c r="B37" i="8"/>
  <c r="B36" i="8" a="1"/>
  <c r="B36" i="8"/>
  <c r="B35" i="8" a="1"/>
  <c r="B35" i="8"/>
  <c r="A36" i="8" a="1"/>
  <c r="A36" i="8"/>
  <c r="A35" i="8" a="1"/>
  <c r="A35" i="8"/>
  <c r="D43" i="8"/>
  <c r="D42" i="8"/>
  <c r="D41" i="8"/>
  <c r="C60" i="9"/>
  <c r="D60" i="9"/>
  <c r="E60" i="9"/>
  <c r="B60" i="9"/>
  <c r="A60" i="9"/>
  <c r="A59" i="9"/>
  <c r="A94" i="9"/>
  <c r="A56" i="9"/>
  <c r="A136" i="9"/>
  <c r="A137" i="9"/>
  <c r="A138" i="9"/>
  <c r="A139" i="9"/>
  <c r="A140" i="9"/>
  <c r="A141" i="9"/>
  <c r="A142" i="9"/>
  <c r="A143" i="9"/>
  <c r="A144" i="9"/>
  <c r="A135" i="9"/>
  <c r="A124" i="9"/>
  <c r="A125" i="9"/>
  <c r="A126" i="9"/>
  <c r="A127" i="9"/>
  <c r="A128" i="9"/>
  <c r="A129" i="9"/>
  <c r="A130" i="9"/>
  <c r="A131" i="9"/>
  <c r="A132" i="9"/>
  <c r="A123" i="9"/>
  <c r="A121" i="9"/>
  <c r="A122" i="9"/>
  <c r="A109" i="9"/>
  <c r="A110" i="9"/>
  <c r="A111" i="9"/>
  <c r="A112" i="9"/>
  <c r="A113" i="9"/>
  <c r="A114" i="9"/>
  <c r="A115" i="9"/>
  <c r="A116" i="9"/>
  <c r="A117" i="9"/>
  <c r="A118" i="9"/>
  <c r="A119" i="9"/>
  <c r="A120" i="9"/>
  <c r="A108" i="9"/>
  <c r="A107" i="9"/>
  <c r="A106" i="9"/>
  <c r="A105" i="9"/>
  <c r="A104" i="9"/>
  <c r="A103" i="9"/>
  <c r="A95" i="9"/>
  <c r="A96" i="9"/>
  <c r="A97" i="9"/>
  <c r="A98" i="9"/>
  <c r="A99" i="9"/>
  <c r="A100" i="9"/>
  <c r="A101" i="9"/>
  <c r="A102" i="9"/>
  <c r="A93" i="9"/>
  <c r="A55" i="9"/>
  <c r="D53" i="2"/>
  <c r="E53" i="2"/>
  <c r="F53" i="2"/>
  <c r="C53" i="2"/>
  <c r="B34" i="8"/>
  <c r="A34" i="8"/>
  <c r="U8" i="8"/>
  <c r="U9" i="8"/>
  <c r="U10" i="8"/>
  <c r="U11" i="8"/>
  <c r="U7" i="8"/>
  <c r="U12" i="8"/>
  <c r="G31" i="8"/>
  <c r="G25" i="8"/>
  <c r="G28" i="8"/>
  <c r="H31" i="8"/>
  <c r="H28" i="8"/>
  <c r="H25" i="8"/>
  <c r="A47" i="8" a="1"/>
  <c r="A47" i="8"/>
  <c r="L30" i="7"/>
  <c r="K30" i="7"/>
  <c r="J30" i="7"/>
  <c r="I30" i="7"/>
  <c r="J6" i="8" l="1"/>
  <c r="A46" i="8"/>
  <c r="J8" i="8"/>
  <c r="J9" i="8"/>
  <c r="J10" i="8"/>
  <c r="J11" i="8"/>
  <c r="J7" i="8"/>
  <c r="K6" i="8"/>
  <c r="I6" i="8"/>
  <c r="A48" i="8"/>
  <c r="A49" i="8" s="1"/>
  <c r="A50" i="8" s="1"/>
  <c r="A51" i="8" s="1"/>
  <c r="A52" i="8" s="1"/>
  <c r="A53" i="8" s="1"/>
  <c r="A54" i="8" s="1"/>
  <c r="A55" i="8" s="1"/>
  <c r="A56" i="8" s="1"/>
  <c r="A57" i="8" s="1"/>
  <c r="D60" i="1"/>
  <c r="D61" i="1"/>
  <c r="I8" i="8" l="1"/>
  <c r="I9" i="8"/>
  <c r="I10" i="8"/>
  <c r="I11" i="8"/>
  <c r="I7" i="8"/>
  <c r="I12" i="8" s="1"/>
  <c r="J12" i="8" s="1"/>
  <c r="K8" i="8"/>
  <c r="K9" i="8"/>
  <c r="K10" i="8"/>
  <c r="K11" i="8"/>
  <c r="K7" i="8"/>
  <c r="L6" i="8"/>
  <c r="B15" i="1"/>
  <c r="L8" i="8" l="1"/>
  <c r="L9" i="8"/>
  <c r="L10" i="8"/>
  <c r="L11" i="8"/>
  <c r="L7" i="8"/>
  <c r="M6" i="8"/>
  <c r="K12" i="8"/>
  <c r="L12" i="8" s="1"/>
  <c r="O41" i="2"/>
  <c r="O40" i="2"/>
  <c r="H41" i="2"/>
  <c r="I41" i="2" s="1"/>
  <c r="J41" i="2" s="1"/>
  <c r="K41" i="2" s="1"/>
  <c r="L41" i="2" s="1"/>
  <c r="M41" i="2" s="1"/>
  <c r="H40" i="2"/>
  <c r="I40" i="2" s="1"/>
  <c r="J40" i="2" s="1"/>
  <c r="K40" i="2" s="1"/>
  <c r="L40" i="2" s="1"/>
  <c r="M40" i="2" s="1"/>
  <c r="O23" i="2"/>
  <c r="O22" i="2"/>
  <c r="O21" i="2"/>
  <c r="O42" i="2"/>
  <c r="O39" i="2"/>
  <c r="H43" i="2"/>
  <c r="I43" i="2" s="1"/>
  <c r="J43" i="2" s="1"/>
  <c r="K43" i="2" s="1"/>
  <c r="L43" i="2" s="1"/>
  <c r="M43" i="2" s="1"/>
  <c r="H42" i="2"/>
  <c r="I42" i="2" s="1"/>
  <c r="J42" i="2" s="1"/>
  <c r="K42" i="2" s="1"/>
  <c r="L42" i="2" s="1"/>
  <c r="M42" i="2" s="1"/>
  <c r="H39" i="2"/>
  <c r="I39" i="2" s="1"/>
  <c r="J39" i="2" s="1"/>
  <c r="K39" i="2" s="1"/>
  <c r="L39" i="2" s="1"/>
  <c r="M39" i="2" s="1"/>
  <c r="H38" i="2"/>
  <c r="I38" i="2" s="1"/>
  <c r="J38" i="2" s="1"/>
  <c r="K38" i="2" s="1"/>
  <c r="L38" i="2" s="1"/>
  <c r="M38" i="2" s="1"/>
  <c r="H37" i="2"/>
  <c r="I37" i="2" s="1"/>
  <c r="J37" i="2" s="1"/>
  <c r="K37" i="2" s="1"/>
  <c r="L37" i="2" s="1"/>
  <c r="M37" i="2" s="1"/>
  <c r="H36" i="2"/>
  <c r="I36" i="2" s="1"/>
  <c r="J36" i="2" s="1"/>
  <c r="K36" i="2" s="1"/>
  <c r="L36" i="2" s="1"/>
  <c r="M36" i="2" s="1"/>
  <c r="H35" i="2"/>
  <c r="I35" i="2" s="1"/>
  <c r="J35" i="2" s="1"/>
  <c r="K35" i="2" s="1"/>
  <c r="L35" i="2" s="1"/>
  <c r="M35" i="2" s="1"/>
  <c r="H34" i="2"/>
  <c r="I34" i="2" s="1"/>
  <c r="J34" i="2" s="1"/>
  <c r="K34" i="2" s="1"/>
  <c r="L34" i="2" s="1"/>
  <c r="M34" i="2" s="1"/>
  <c r="H33" i="2"/>
  <c r="I33" i="2" s="1"/>
  <c r="J33" i="2" s="1"/>
  <c r="K33" i="2" s="1"/>
  <c r="L33" i="2" s="1"/>
  <c r="M33" i="2" s="1"/>
  <c r="H32" i="2"/>
  <c r="I32" i="2" s="1"/>
  <c r="J32" i="2" s="1"/>
  <c r="K32" i="2" s="1"/>
  <c r="L32" i="2" s="1"/>
  <c r="M32" i="2" s="1"/>
  <c r="H31" i="2"/>
  <c r="I31" i="2" s="1"/>
  <c r="J31" i="2" s="1"/>
  <c r="K31" i="2" s="1"/>
  <c r="L31" i="2" s="1"/>
  <c r="M31" i="2" s="1"/>
  <c r="H30" i="2"/>
  <c r="I30" i="2" s="1"/>
  <c r="J30" i="2" s="1"/>
  <c r="K30" i="2" s="1"/>
  <c r="L30" i="2" s="1"/>
  <c r="M30" i="2" s="1"/>
  <c r="H25" i="2"/>
  <c r="I25" i="2" s="1"/>
  <c r="J25" i="2" s="1"/>
  <c r="K25" i="2" s="1"/>
  <c r="L25" i="2" s="1"/>
  <c r="M25" i="2" s="1"/>
  <c r="H24" i="2"/>
  <c r="I24" i="2" s="1"/>
  <c r="J24" i="2" s="1"/>
  <c r="K24" i="2" s="1"/>
  <c r="L24" i="2" s="1"/>
  <c r="M24" i="2" s="1"/>
  <c r="H23" i="2"/>
  <c r="I23" i="2" s="1"/>
  <c r="J23" i="2" s="1"/>
  <c r="K23" i="2" s="1"/>
  <c r="L23" i="2" s="1"/>
  <c r="M23" i="2" s="1"/>
  <c r="H22" i="2"/>
  <c r="I22" i="2" s="1"/>
  <c r="J22" i="2" s="1"/>
  <c r="K22" i="2" s="1"/>
  <c r="L22" i="2" s="1"/>
  <c r="M22" i="2" s="1"/>
  <c r="H21" i="2"/>
  <c r="I21" i="2" s="1"/>
  <c r="J21" i="2" s="1"/>
  <c r="K21" i="2" s="1"/>
  <c r="L21" i="2" s="1"/>
  <c r="M21" i="2" s="1"/>
  <c r="H20" i="2"/>
  <c r="I20" i="2" s="1"/>
  <c r="J20" i="2" s="1"/>
  <c r="K20" i="2" s="1"/>
  <c r="L20" i="2" s="1"/>
  <c r="M20" i="2" s="1"/>
  <c r="H19" i="2"/>
  <c r="I19" i="2" s="1"/>
  <c r="J19" i="2" s="1"/>
  <c r="K19" i="2" s="1"/>
  <c r="L19" i="2" s="1"/>
  <c r="M19" i="2" s="1"/>
  <c r="H18" i="2"/>
  <c r="I18" i="2" s="1"/>
  <c r="J18" i="2" s="1"/>
  <c r="K18" i="2" s="1"/>
  <c r="L18" i="2" s="1"/>
  <c r="M18" i="2" s="1"/>
  <c r="H17" i="2"/>
  <c r="I17" i="2" s="1"/>
  <c r="J17" i="2" s="1"/>
  <c r="K17" i="2" s="1"/>
  <c r="L17" i="2" s="1"/>
  <c r="M17" i="2" s="1"/>
  <c r="H16" i="2"/>
  <c r="I16" i="2" s="1"/>
  <c r="J16" i="2" s="1"/>
  <c r="K16" i="2" s="1"/>
  <c r="L16" i="2" s="1"/>
  <c r="M16" i="2" s="1"/>
  <c r="H15" i="2"/>
  <c r="I15" i="2" s="1"/>
  <c r="J15" i="2" s="1"/>
  <c r="K15" i="2" s="1"/>
  <c r="L15" i="2" s="1"/>
  <c r="M15" i="2" s="1"/>
  <c r="H14" i="2"/>
  <c r="I14" i="2" s="1"/>
  <c r="J14" i="2" s="1"/>
  <c r="K14" i="2" s="1"/>
  <c r="L14" i="2" s="1"/>
  <c r="M14" i="2" s="1"/>
  <c r="H13" i="2"/>
  <c r="I13" i="2" s="1"/>
  <c r="J13" i="2" s="1"/>
  <c r="H11" i="2"/>
  <c r="I11" i="2" s="1"/>
  <c r="J11" i="2" s="1"/>
  <c r="K11" i="2" s="1"/>
  <c r="L11" i="2" s="1"/>
  <c r="M11" i="2" s="1"/>
  <c r="M8" i="8" l="1"/>
  <c r="M9" i="8"/>
  <c r="M10" i="8"/>
  <c r="M11" i="8"/>
  <c r="M7" i="8"/>
  <c r="M12" i="8" s="1"/>
  <c r="N6" i="8"/>
  <c r="I25" i="8" s="1"/>
  <c r="I26" i="8" s="1"/>
  <c r="N8" i="8" l="1"/>
  <c r="N9" i="8"/>
  <c r="N10" i="8"/>
  <c r="N11" i="8"/>
  <c r="N7" i="8"/>
  <c r="O6" i="8"/>
  <c r="J25" i="8" s="1"/>
  <c r="J26" i="8" s="1"/>
  <c r="N12" i="8"/>
  <c r="A16" i="4"/>
  <c r="B56" i="7"/>
  <c r="O8" i="8" l="1"/>
  <c r="O9" i="8"/>
  <c r="O10" i="8"/>
  <c r="O11" i="8"/>
  <c r="O7" i="8"/>
  <c r="O12" i="8" s="1"/>
  <c r="P6" i="8"/>
  <c r="K25" i="8" s="1"/>
  <c r="K26" i="8" s="1"/>
  <c r="A33" i="4"/>
  <c r="B33" i="4"/>
  <c r="P44" i="7"/>
  <c r="E40" i="6"/>
  <c r="D40" i="6"/>
  <c r="C40" i="6"/>
  <c r="B40" i="6"/>
  <c r="D71" i="1"/>
  <c r="D70" i="1"/>
  <c r="D67" i="1"/>
  <c r="D68" i="1"/>
  <c r="D69" i="1"/>
  <c r="P8" i="8" l="1"/>
  <c r="P9" i="8"/>
  <c r="P10" i="8"/>
  <c r="P11" i="8"/>
  <c r="P7" i="8"/>
  <c r="Q6" i="8"/>
  <c r="L25" i="8" s="1"/>
  <c r="L26" i="8" s="1"/>
  <c r="P12" i="8"/>
  <c r="D62" i="1"/>
  <c r="D63" i="1"/>
  <c r="D64" i="1"/>
  <c r="D65" i="1"/>
  <c r="D66" i="1"/>
  <c r="D59" i="1"/>
  <c r="D58" i="1"/>
  <c r="E7" i="6"/>
  <c r="D7" i="6"/>
  <c r="C7" i="6"/>
  <c r="B7" i="6"/>
  <c r="E6" i="6"/>
  <c r="D6" i="6"/>
  <c r="C6" i="6"/>
  <c r="B6" i="6"/>
  <c r="K37" i="3"/>
  <c r="K36" i="3"/>
  <c r="K35" i="3"/>
  <c r="K34" i="3"/>
  <c r="K33" i="3"/>
  <c r="K32" i="3"/>
  <c r="K31" i="3"/>
  <c r="K30" i="3"/>
  <c r="K29" i="3"/>
  <c r="K28" i="3"/>
  <c r="K26" i="3"/>
  <c r="K25" i="3"/>
  <c r="K24" i="3"/>
  <c r="K23" i="3"/>
  <c r="K22" i="3"/>
  <c r="K21" i="3"/>
  <c r="K20" i="3"/>
  <c r="K19" i="3"/>
  <c r="K18" i="3"/>
  <c r="L37" i="3"/>
  <c r="M37" i="3" s="1"/>
  <c r="N37" i="3" s="1"/>
  <c r="O37" i="3" s="1"/>
  <c r="P37" i="3" s="1"/>
  <c r="L36" i="3"/>
  <c r="M36" i="3" s="1"/>
  <c r="N36" i="3" s="1"/>
  <c r="O36" i="3" s="1"/>
  <c r="P36" i="3" s="1"/>
  <c r="L35" i="3"/>
  <c r="M35" i="3" s="1"/>
  <c r="N35" i="3" s="1"/>
  <c r="O35" i="3" s="1"/>
  <c r="P35" i="3" s="1"/>
  <c r="L34" i="3"/>
  <c r="M34" i="3" s="1"/>
  <c r="N34" i="3" s="1"/>
  <c r="O34" i="3" s="1"/>
  <c r="P34" i="3" s="1"/>
  <c r="L33" i="3"/>
  <c r="M33" i="3" s="1"/>
  <c r="N33" i="3" s="1"/>
  <c r="O33" i="3" s="1"/>
  <c r="P33" i="3" s="1"/>
  <c r="L32" i="3"/>
  <c r="M32" i="3" s="1"/>
  <c r="N32" i="3" s="1"/>
  <c r="O32" i="3" s="1"/>
  <c r="P32" i="3" s="1"/>
  <c r="L31" i="3"/>
  <c r="M31" i="3" s="1"/>
  <c r="N31" i="3" s="1"/>
  <c r="O31" i="3" s="1"/>
  <c r="P31" i="3" s="1"/>
  <c r="L30" i="3"/>
  <c r="M30" i="3" s="1"/>
  <c r="N30" i="3" s="1"/>
  <c r="O30" i="3" s="1"/>
  <c r="P30" i="3" s="1"/>
  <c r="L29" i="3"/>
  <c r="M29" i="3" s="1"/>
  <c r="N29" i="3" s="1"/>
  <c r="O29" i="3" s="1"/>
  <c r="P29" i="3" s="1"/>
  <c r="L28" i="3"/>
  <c r="M28" i="3" s="1"/>
  <c r="N28" i="3" s="1"/>
  <c r="O28" i="3" s="1"/>
  <c r="P28" i="3" s="1"/>
  <c r="L26" i="3"/>
  <c r="M26" i="3" s="1"/>
  <c r="N26" i="3" s="1"/>
  <c r="O26" i="3" s="1"/>
  <c r="P26" i="3" s="1"/>
  <c r="L25" i="3"/>
  <c r="M25" i="3" s="1"/>
  <c r="N25" i="3" s="1"/>
  <c r="O25" i="3" s="1"/>
  <c r="P25" i="3" s="1"/>
  <c r="L24" i="3"/>
  <c r="M24" i="3" s="1"/>
  <c r="N24" i="3" s="1"/>
  <c r="O24" i="3" s="1"/>
  <c r="P24" i="3" s="1"/>
  <c r="L23" i="3"/>
  <c r="M23" i="3" s="1"/>
  <c r="N23" i="3" s="1"/>
  <c r="O23" i="3" s="1"/>
  <c r="P23" i="3" s="1"/>
  <c r="L22" i="3"/>
  <c r="M22" i="3" s="1"/>
  <c r="N22" i="3" s="1"/>
  <c r="O22" i="3" s="1"/>
  <c r="P22" i="3" s="1"/>
  <c r="L21" i="3"/>
  <c r="M21" i="3" s="1"/>
  <c r="N21" i="3" s="1"/>
  <c r="O21" i="3" s="1"/>
  <c r="P21" i="3" s="1"/>
  <c r="L20" i="3"/>
  <c r="M20" i="3" s="1"/>
  <c r="N20" i="3" s="1"/>
  <c r="O20" i="3" s="1"/>
  <c r="P20" i="3" s="1"/>
  <c r="L19" i="3"/>
  <c r="M19" i="3" s="1"/>
  <c r="N19" i="3" s="1"/>
  <c r="O19" i="3" s="1"/>
  <c r="P19" i="3" s="1"/>
  <c r="L18" i="3"/>
  <c r="M18" i="3" s="1"/>
  <c r="N18" i="3" s="1"/>
  <c r="O18" i="3" s="1"/>
  <c r="P18" i="3" s="1"/>
  <c r="K17" i="3"/>
  <c r="L17" i="3" s="1"/>
  <c r="M17" i="3" s="1"/>
  <c r="N17" i="3" s="1"/>
  <c r="O17" i="3" s="1"/>
  <c r="P17" i="3" s="1"/>
  <c r="A3" i="4"/>
  <c r="B3" i="4" s="1"/>
  <c r="O43" i="2"/>
  <c r="O38" i="2"/>
  <c r="O37" i="2"/>
  <c r="O36" i="2"/>
  <c r="O35" i="2"/>
  <c r="O34" i="2"/>
  <c r="O33" i="2"/>
  <c r="O32" i="2"/>
  <c r="O31" i="2"/>
  <c r="O29" i="2"/>
  <c r="O25" i="2"/>
  <c r="O24" i="2"/>
  <c r="O20" i="2"/>
  <c r="O19" i="2"/>
  <c r="O18" i="2"/>
  <c r="O17" i="2"/>
  <c r="O16" i="2"/>
  <c r="O15" i="2"/>
  <c r="O14" i="2"/>
  <c r="O13" i="2"/>
  <c r="O11" i="2"/>
  <c r="O10" i="2"/>
  <c r="A50" i="4"/>
  <c r="Q46" i="2"/>
  <c r="Q28" i="2"/>
  <c r="Q9" i="2"/>
  <c r="B61" i="1"/>
  <c r="B62" i="1" s="1"/>
  <c r="B63" i="1" s="1"/>
  <c r="B64" i="1" s="1"/>
  <c r="B65" i="1" s="1"/>
  <c r="B66" i="1" s="1"/>
  <c r="B67" i="1" s="1"/>
  <c r="B68" i="1" s="1"/>
  <c r="B69" i="1" s="1"/>
  <c r="B70" i="1" s="1"/>
  <c r="A16" i="3"/>
  <c r="A27" i="3"/>
  <c r="A2" i="3"/>
  <c r="F8" i="1"/>
  <c r="F36" i="6"/>
  <c r="K43" i="6"/>
  <c r="K41" i="6"/>
  <c r="A2" i="6"/>
  <c r="E53" i="7"/>
  <c r="G53" i="7"/>
  <c r="H53" i="7" s="1"/>
  <c r="I53" i="7" s="1"/>
  <c r="J53" i="7" s="1"/>
  <c r="K53" i="7" s="1"/>
  <c r="E43" i="8" l="1"/>
  <c r="E42" i="8"/>
  <c r="E41" i="8"/>
  <c r="A24" i="8"/>
  <c r="A14" i="8"/>
  <c r="A5" i="8"/>
  <c r="A2" i="8"/>
  <c r="Q8" i="8"/>
  <c r="Q9" i="8"/>
  <c r="Q10" i="8"/>
  <c r="Q11" i="8"/>
  <c r="Q7" i="8"/>
  <c r="Q12" i="8" s="1"/>
  <c r="R6" i="8"/>
  <c r="M25" i="8" s="1"/>
  <c r="M26" i="8" s="1"/>
  <c r="N53" i="7"/>
  <c r="B43" i="6"/>
  <c r="B35" i="6"/>
  <c r="C43" i="6"/>
  <c r="C35" i="6"/>
  <c r="D43" i="6"/>
  <c r="D35" i="6"/>
  <c r="E43" i="6"/>
  <c r="E35" i="6"/>
  <c r="L53" i="7"/>
  <c r="B41" i="6"/>
  <c r="B33" i="6"/>
  <c r="C41" i="6"/>
  <c r="C33" i="6"/>
  <c r="D41" i="6"/>
  <c r="D33" i="6"/>
  <c r="E41" i="6"/>
  <c r="E33" i="6"/>
  <c r="C10" i="7"/>
  <c r="C29" i="7" s="1"/>
  <c r="C47" i="7" s="1"/>
  <c r="E10" i="7"/>
  <c r="E29" i="7" s="1"/>
  <c r="E47" i="7" s="1"/>
  <c r="D10" i="7"/>
  <c r="D29" i="7" s="1"/>
  <c r="D47" i="7" s="1"/>
  <c r="B46" i="7"/>
  <c r="R8" i="8" l="1"/>
  <c r="R9" i="8"/>
  <c r="R10" i="8"/>
  <c r="R11" i="8"/>
  <c r="R7" i="8"/>
  <c r="S6" i="8"/>
  <c r="R12" i="8"/>
  <c r="I29" i="3"/>
  <c r="I30" i="3"/>
  <c r="I31" i="3"/>
  <c r="I32" i="3"/>
  <c r="I33" i="3"/>
  <c r="I34" i="3"/>
  <c r="I35" i="3"/>
  <c r="I36" i="3"/>
  <c r="I37" i="3"/>
  <c r="I28" i="3"/>
  <c r="I18" i="3"/>
  <c r="I19" i="3"/>
  <c r="I20" i="3"/>
  <c r="I21" i="3"/>
  <c r="I22" i="3"/>
  <c r="I23" i="3"/>
  <c r="I24" i="3"/>
  <c r="I25" i="3"/>
  <c r="I26" i="3"/>
  <c r="I17" i="3"/>
  <c r="I16" i="3" s="1"/>
  <c r="A2" i="7"/>
  <c r="A2" i="2"/>
  <c r="B13" i="1"/>
  <c r="M26" i="7"/>
  <c r="J43" i="6"/>
  <c r="J41" i="6"/>
  <c r="E39" i="7"/>
  <c r="D39" i="7"/>
  <c r="C39" i="7"/>
  <c r="N26" i="7"/>
  <c r="N25" i="8" l="1"/>
  <c r="N26" i="8" s="1"/>
  <c r="S8" i="8"/>
  <c r="S9" i="8"/>
  <c r="S10" i="8"/>
  <c r="S11" i="8"/>
  <c r="S7" i="8"/>
  <c r="S12" i="8" s="1"/>
  <c r="I27" i="3"/>
  <c r="O30" i="2"/>
  <c r="C9" i="2" l="1"/>
  <c r="G43" i="6"/>
  <c r="B5" i="6"/>
  <c r="B32" i="6" s="1"/>
  <c r="B10" i="7"/>
  <c r="K13" i="2" l="1"/>
  <c r="L13" i="2" s="1"/>
  <c r="M13" i="2" s="1"/>
  <c r="B39" i="6"/>
  <c r="C39" i="6" s="1"/>
  <c r="D39" i="6" s="1"/>
  <c r="E39" i="6" s="1"/>
  <c r="C32" i="6"/>
  <c r="D32" i="6" s="1"/>
  <c r="E32" i="6" s="1"/>
  <c r="B29" i="7"/>
  <c r="F43" i="6"/>
  <c r="I41" i="6"/>
  <c r="H41" i="6"/>
  <c r="G41" i="6"/>
  <c r="F41" i="6"/>
  <c r="I43" i="6"/>
  <c r="H43" i="6"/>
  <c r="B47" i="7" l="1"/>
  <c r="B39" i="7"/>
  <c r="C48" i="7"/>
  <c r="D48" i="7"/>
  <c r="E48" i="7"/>
  <c r="B48" i="7"/>
  <c r="F34" i="6"/>
  <c r="F35" i="6"/>
  <c r="F33" i="6"/>
  <c r="F49" i="6" s="1"/>
  <c r="B49" i="7" l="1"/>
  <c r="G16" i="7"/>
  <c r="F50" i="6"/>
  <c r="H12" i="2" s="1"/>
  <c r="F60" i="9" l="1"/>
  <c r="H53" i="2"/>
  <c r="G15" i="7"/>
  <c r="C46" i="7"/>
  <c r="C49" i="7" s="1"/>
  <c r="B50" i="7"/>
  <c r="D46" i="7" l="1"/>
  <c r="D49" i="7" s="1"/>
  <c r="E46" i="7" s="1"/>
  <c r="C50" i="7"/>
  <c r="C25" i="7"/>
  <c r="D25" i="7"/>
  <c r="E25" i="7"/>
  <c r="H30" i="7" s="1"/>
  <c r="H29" i="7" s="1"/>
  <c r="F47" i="2"/>
  <c r="F48" i="2" s="1"/>
  <c r="E47" i="2"/>
  <c r="E49" i="2" s="1"/>
  <c r="D47" i="2"/>
  <c r="C47" i="2"/>
  <c r="C49" i="2" s="1"/>
  <c r="C50" i="2" s="1"/>
  <c r="F44" i="2"/>
  <c r="A20" i="4" s="1"/>
  <c r="E44" i="2"/>
  <c r="D44" i="2"/>
  <c r="C44" i="2"/>
  <c r="F26" i="2"/>
  <c r="A18" i="4" s="1"/>
  <c r="E26" i="2"/>
  <c r="D26" i="2"/>
  <c r="G30" i="7" l="1"/>
  <c r="C59" i="9"/>
  <c r="C56" i="9"/>
  <c r="C55" i="9"/>
  <c r="D59" i="9"/>
  <c r="D56" i="9"/>
  <c r="D55" i="9"/>
  <c r="E59" i="9"/>
  <c r="E56" i="9"/>
  <c r="E55" i="9"/>
  <c r="G29" i="7"/>
  <c r="D48" i="2"/>
  <c r="D51" i="2" s="1"/>
  <c r="E48" i="2"/>
  <c r="E51" i="2" s="1"/>
  <c r="C48" i="2"/>
  <c r="C51" i="2" s="1"/>
  <c r="H44" i="2"/>
  <c r="I44" i="2" s="1"/>
  <c r="J44" i="2" s="1"/>
  <c r="K44" i="2" s="1"/>
  <c r="L44" i="2" s="1"/>
  <c r="M44" i="2" s="1"/>
  <c r="H26" i="2"/>
  <c r="E49" i="7"/>
  <c r="A27" i="4" s="1"/>
  <c r="N46" i="7"/>
  <c r="E50" i="2"/>
  <c r="O44" i="2"/>
  <c r="A21" i="4" s="1"/>
  <c r="O47" i="2"/>
  <c r="D49" i="2"/>
  <c r="D50" i="2" s="1"/>
  <c r="F51" i="2"/>
  <c r="A15" i="4" s="1"/>
  <c r="F49" i="2"/>
  <c r="D19" i="8" s="1"/>
  <c r="D50" i="7"/>
  <c r="H29" i="2"/>
  <c r="F32" i="6"/>
  <c r="G32" i="6" s="1"/>
  <c r="H32" i="6" s="1"/>
  <c r="I32" i="6" s="1"/>
  <c r="J32" i="6" s="1"/>
  <c r="K32" i="6" s="1"/>
  <c r="F39" i="6"/>
  <c r="C5" i="6"/>
  <c r="D5" i="6" s="1"/>
  <c r="E5" i="6" s="1"/>
  <c r="I26" i="2" l="1"/>
  <c r="F59" i="9"/>
  <c r="F56" i="9"/>
  <c r="F55" i="9"/>
  <c r="F50" i="2"/>
  <c r="A13" i="4"/>
  <c r="O48" i="2"/>
  <c r="A14" i="4"/>
  <c r="A12" i="4"/>
  <c r="N49" i="7"/>
  <c r="G46" i="7"/>
  <c r="E50" i="7"/>
  <c r="N50" i="7" s="1"/>
  <c r="G39" i="6"/>
  <c r="H39" i="6" s="1"/>
  <c r="I39" i="6" s="1"/>
  <c r="J39" i="6" s="1"/>
  <c r="K39" i="6" s="1"/>
  <c r="F47" i="6"/>
  <c r="G47" i="6" s="1"/>
  <c r="H47" i="6" s="1"/>
  <c r="I47" i="6" s="1"/>
  <c r="J47" i="6" s="1"/>
  <c r="K47" i="6" s="1"/>
  <c r="F9" i="6"/>
  <c r="F5" i="6"/>
  <c r="G5" i="6" s="1"/>
  <c r="H5" i="6" s="1"/>
  <c r="I5" i="6" s="1"/>
  <c r="J5" i="6" s="1"/>
  <c r="K5" i="6" s="1"/>
  <c r="D9" i="2"/>
  <c r="B3" i="2"/>
  <c r="C28" i="2"/>
  <c r="F11" i="6" l="1"/>
  <c r="I27" i="8"/>
  <c r="I28" i="8" s="1"/>
  <c r="J26" i="2"/>
  <c r="G59" i="9"/>
  <c r="G55" i="9"/>
  <c r="O51" i="2"/>
  <c r="E9" i="2"/>
  <c r="I29" i="2"/>
  <c r="J29" i="2"/>
  <c r="B14" i="7"/>
  <c r="C46" i="2"/>
  <c r="D46" i="2" s="1"/>
  <c r="E46" i="2" s="1"/>
  <c r="F46" i="2" s="1"/>
  <c r="H46" i="2" s="1"/>
  <c r="I46" i="2" s="1"/>
  <c r="J46" i="2" s="1"/>
  <c r="K46" i="2" s="1"/>
  <c r="L46" i="2" s="1"/>
  <c r="M46" i="2" s="1"/>
  <c r="G9" i="6"/>
  <c r="H9" i="6" s="1"/>
  <c r="B25" i="6"/>
  <c r="C25" i="6" s="1"/>
  <c r="D25" i="6" s="1"/>
  <c r="E25" i="6" s="1"/>
  <c r="F25" i="6" s="1"/>
  <c r="G25" i="6" s="1"/>
  <c r="A19" i="6"/>
  <c r="D28" i="2"/>
  <c r="E28" i="2" s="1"/>
  <c r="F28" i="2" s="1"/>
  <c r="H28" i="2" s="1"/>
  <c r="I28" i="2" s="1"/>
  <c r="J28" i="2" s="1"/>
  <c r="K28" i="2" s="1"/>
  <c r="L28" i="2" s="1"/>
  <c r="M28" i="2" s="1"/>
  <c r="K26" i="2" l="1"/>
  <c r="H59" i="9"/>
  <c r="H55" i="9"/>
  <c r="F9" i="2"/>
  <c r="A11" i="4"/>
  <c r="A9" i="4"/>
  <c r="A23" i="4"/>
  <c r="O9" i="2"/>
  <c r="O28" i="2" s="1"/>
  <c r="O46" i="2" s="1"/>
  <c r="C14" i="7"/>
  <c r="R11" i="2"/>
  <c r="H9" i="2"/>
  <c r="K29" i="2"/>
  <c r="B3" i="7"/>
  <c r="B7" i="7" s="1"/>
  <c r="C7" i="7" s="1"/>
  <c r="D7" i="7" s="1"/>
  <c r="E7" i="7" s="1"/>
  <c r="A20" i="6"/>
  <c r="I9" i="6"/>
  <c r="A21" i="6"/>
  <c r="A64" i="4" l="1"/>
  <c r="A59" i="4"/>
  <c r="A62" i="4"/>
  <c r="A8" i="4"/>
  <c r="A17" i="8"/>
  <c r="L26" i="2"/>
  <c r="I59" i="9"/>
  <c r="I55" i="9"/>
  <c r="E31" i="8"/>
  <c r="E28" i="8"/>
  <c r="E25" i="8"/>
  <c r="D6" i="8"/>
  <c r="D31" i="8"/>
  <c r="D28" i="8"/>
  <c r="D25" i="8"/>
  <c r="A15" i="8"/>
  <c r="D14" i="7"/>
  <c r="M29" i="2"/>
  <c r="C3" i="3"/>
  <c r="D3" i="3" s="1"/>
  <c r="E3" i="3" s="1"/>
  <c r="F3" i="3" s="1"/>
  <c r="G3" i="3" s="1"/>
  <c r="H3" i="3" s="1"/>
  <c r="I9" i="2"/>
  <c r="L29" i="2"/>
  <c r="B28" i="7"/>
  <c r="J9" i="6"/>
  <c r="A22" i="6"/>
  <c r="H10" i="2"/>
  <c r="G47" i="7" s="1"/>
  <c r="M26" i="2" l="1"/>
  <c r="J59" i="9"/>
  <c r="J55" i="9"/>
  <c r="E14" i="7"/>
  <c r="C15" i="3"/>
  <c r="J9" i="2"/>
  <c r="A23" i="6"/>
  <c r="K9" i="6"/>
  <c r="C28" i="7"/>
  <c r="B44" i="7"/>
  <c r="H47" i="2"/>
  <c r="H48" i="2" s="1"/>
  <c r="F10" i="6"/>
  <c r="K59" i="9" l="1"/>
  <c r="K55" i="9"/>
  <c r="G14" i="7"/>
  <c r="H14" i="7"/>
  <c r="D15" i="3"/>
  <c r="K15" i="3"/>
  <c r="K9" i="2"/>
  <c r="H51" i="2"/>
  <c r="H49" i="2"/>
  <c r="H50" i="2" s="1"/>
  <c r="F13" i="6"/>
  <c r="F14" i="6" s="1"/>
  <c r="C19" i="6" s="1"/>
  <c r="D19" i="6" s="1"/>
  <c r="E19" i="6" s="1"/>
  <c r="F19" i="6" s="1"/>
  <c r="D28" i="7"/>
  <c r="C44" i="7"/>
  <c r="C27" i="6" l="1"/>
  <c r="C26" i="6"/>
  <c r="I14" i="7"/>
  <c r="E15" i="3"/>
  <c r="L15" i="3"/>
  <c r="L9" i="2"/>
  <c r="F48" i="6"/>
  <c r="G48" i="7" s="1"/>
  <c r="G41" i="7" s="1"/>
  <c r="E28" i="7"/>
  <c r="D44" i="7"/>
  <c r="G33" i="6" l="1"/>
  <c r="G49" i="6" s="1"/>
  <c r="H16" i="7" s="1"/>
  <c r="J14" i="7"/>
  <c r="M15" i="3"/>
  <c r="F15" i="3"/>
  <c r="M9" i="2"/>
  <c r="G35" i="6"/>
  <c r="G50" i="6" s="1"/>
  <c r="I12" i="2" s="1"/>
  <c r="G36" i="6"/>
  <c r="G34" i="6"/>
  <c r="G49" i="7"/>
  <c r="H15" i="7"/>
  <c r="G28" i="7"/>
  <c r="E44" i="7"/>
  <c r="N44" i="7" s="1"/>
  <c r="G60" i="9" l="1"/>
  <c r="G56" i="9"/>
  <c r="I29" i="7"/>
  <c r="I53" i="2"/>
  <c r="Q41" i="2"/>
  <c r="Q40" i="2"/>
  <c r="Q23" i="2"/>
  <c r="Q22" i="2"/>
  <c r="Q21" i="2"/>
  <c r="Q42" i="2"/>
  <c r="Q39" i="2"/>
  <c r="K14" i="7"/>
  <c r="G15" i="3"/>
  <c r="N15" i="3"/>
  <c r="Q29" i="2"/>
  <c r="Q44" i="2"/>
  <c r="Q25" i="2"/>
  <c r="Q19" i="2"/>
  <c r="Q20" i="2"/>
  <c r="Q37" i="2"/>
  <c r="Q24" i="2"/>
  <c r="Q13" i="2"/>
  <c r="Q11" i="2"/>
  <c r="Q35" i="2"/>
  <c r="Q34" i="2"/>
  <c r="Q16" i="2"/>
  <c r="Q31" i="2"/>
  <c r="Q15" i="2"/>
  <c r="Q32" i="2"/>
  <c r="Q17" i="2"/>
  <c r="Q18" i="2"/>
  <c r="Q14" i="2"/>
  <c r="Q43" i="2"/>
  <c r="Q38" i="2"/>
  <c r="Q33" i="2"/>
  <c r="Q36" i="2"/>
  <c r="Q30" i="2"/>
  <c r="A46" i="4" s="1"/>
  <c r="H46" i="7"/>
  <c r="G50" i="7"/>
  <c r="I10" i="2"/>
  <c r="H28" i="7"/>
  <c r="G44" i="7"/>
  <c r="G11" i="6" l="1"/>
  <c r="J27" i="8"/>
  <c r="J28" i="8" s="1"/>
  <c r="L14" i="7"/>
  <c r="I47" i="2"/>
  <c r="I48" i="2" s="1"/>
  <c r="H47" i="7"/>
  <c r="G10" i="6" s="1"/>
  <c r="H15" i="3"/>
  <c r="P15" i="3" s="1"/>
  <c r="O15" i="3"/>
  <c r="G13" i="6"/>
  <c r="I51" i="2"/>
  <c r="I49" i="2"/>
  <c r="I50" i="2" s="1"/>
  <c r="I28" i="7"/>
  <c r="H44" i="7"/>
  <c r="P53" i="7" l="1"/>
  <c r="G14" i="6"/>
  <c r="G48" i="6"/>
  <c r="H48" i="7" s="1"/>
  <c r="H41" i="7" s="1"/>
  <c r="J28" i="7"/>
  <c r="I44" i="7"/>
  <c r="D27" i="6" l="1"/>
  <c r="H36" i="6" s="1"/>
  <c r="D20" i="6"/>
  <c r="E20" i="6" s="1"/>
  <c r="F20" i="6" s="1"/>
  <c r="D26" i="6"/>
  <c r="H33" i="6" s="1"/>
  <c r="H49" i="6" s="1"/>
  <c r="I16" i="7" s="1"/>
  <c r="I15" i="7"/>
  <c r="H49" i="7"/>
  <c r="I46" i="7" s="1"/>
  <c r="H35" i="6"/>
  <c r="H50" i="6" s="1"/>
  <c r="J12" i="2" s="1"/>
  <c r="H34" i="6"/>
  <c r="K28" i="7"/>
  <c r="J44" i="7"/>
  <c r="H60" i="9" l="1"/>
  <c r="H56" i="9"/>
  <c r="H11" i="6"/>
  <c r="K27" i="8"/>
  <c r="K28" i="8" s="1"/>
  <c r="J29" i="7"/>
  <c r="J53" i="2"/>
  <c r="K44" i="7"/>
  <c r="L28" i="7"/>
  <c r="L44" i="7" s="1"/>
  <c r="H50" i="7"/>
  <c r="J10" i="2"/>
  <c r="J47" i="2" l="1"/>
  <c r="J48" i="2" s="1"/>
  <c r="I47" i="7"/>
  <c r="H10" i="6" s="1"/>
  <c r="H13" i="6" s="1"/>
  <c r="H14" i="6" s="1"/>
  <c r="H48" i="6"/>
  <c r="I48" i="7" s="1"/>
  <c r="I49" i="7" s="1"/>
  <c r="J51" i="2"/>
  <c r="J49" i="2"/>
  <c r="J50" i="2" s="1"/>
  <c r="E27" i="6" l="1"/>
  <c r="E21" i="6"/>
  <c r="F21" i="6" s="1"/>
  <c r="E26" i="6"/>
  <c r="I35" i="6"/>
  <c r="I50" i="6" s="1"/>
  <c r="I36" i="6"/>
  <c r="J46" i="7"/>
  <c r="I50" i="7"/>
  <c r="I41" i="7"/>
  <c r="I33" i="6"/>
  <c r="I49" i="6" s="1"/>
  <c r="J16" i="7" s="1"/>
  <c r="I34" i="6"/>
  <c r="I60" i="9" l="1"/>
  <c r="I56" i="9"/>
  <c r="I11" i="6"/>
  <c r="L27" i="8"/>
  <c r="L28" i="8" s="1"/>
  <c r="K29" i="7"/>
  <c r="K53" i="2"/>
  <c r="K12" i="2"/>
  <c r="K10" i="2" s="1"/>
  <c r="J15" i="7"/>
  <c r="J47" i="7" s="1"/>
  <c r="K47" i="2"/>
  <c r="I10" i="6"/>
  <c r="I13" i="6" s="1"/>
  <c r="I14" i="6" s="1"/>
  <c r="F27" i="6" l="1"/>
  <c r="F22" i="6"/>
  <c r="K48" i="2"/>
  <c r="K51" i="2" s="1"/>
  <c r="F26" i="6"/>
  <c r="K49" i="2"/>
  <c r="K50" i="2" s="1"/>
  <c r="J36" i="6"/>
  <c r="I48" i="6"/>
  <c r="J48" i="7" s="1"/>
  <c r="J41" i="7" s="1"/>
  <c r="J33" i="6" l="1"/>
  <c r="J49" i="6" s="1"/>
  <c r="K16" i="7" s="1"/>
  <c r="J34" i="6"/>
  <c r="J35" i="6"/>
  <c r="J50" i="6" s="1"/>
  <c r="J49" i="7"/>
  <c r="J60" i="9" l="1"/>
  <c r="J56" i="9"/>
  <c r="L29" i="7"/>
  <c r="L53" i="2"/>
  <c r="L12" i="2"/>
  <c r="K15" i="7"/>
  <c r="L10" i="2"/>
  <c r="K46" i="7"/>
  <c r="M27" i="8" s="1"/>
  <c r="M28" i="8" s="1"/>
  <c r="J50" i="7"/>
  <c r="J11" i="6" l="1"/>
  <c r="K47" i="7"/>
  <c r="L47" i="2"/>
  <c r="L48" i="2" l="1"/>
  <c r="J10" i="6"/>
  <c r="J13" i="6" s="1"/>
  <c r="L51" i="2"/>
  <c r="L49" i="2"/>
  <c r="L50" i="2" l="1"/>
  <c r="J14" i="6"/>
  <c r="G26" i="6" l="1"/>
  <c r="G27" i="6"/>
  <c r="J48" i="6"/>
  <c r="K48" i="7" s="1"/>
  <c r="K49" i="7" l="1"/>
  <c r="A52" i="4" s="1"/>
  <c r="K41" i="7"/>
  <c r="K35" i="6"/>
  <c r="K50" i="6" s="1"/>
  <c r="M12" i="2" s="1"/>
  <c r="K36" i="6"/>
  <c r="K34" i="6"/>
  <c r="K33" i="6"/>
  <c r="K49" i="6" s="1"/>
  <c r="L16" i="7" s="1"/>
  <c r="B25" i="7"/>
  <c r="K60" i="9" l="1"/>
  <c r="K56" i="9"/>
  <c r="L15" i="7"/>
  <c r="M53" i="2"/>
  <c r="M10" i="2"/>
  <c r="Q12" i="2"/>
  <c r="K50" i="7"/>
  <c r="L46" i="7"/>
  <c r="O49" i="2"/>
  <c r="C56" i="7"/>
  <c r="D56" i="7" s="1"/>
  <c r="E56" i="7" s="1"/>
  <c r="G56" i="7" s="1"/>
  <c r="H56" i="7" s="1"/>
  <c r="I56" i="7" s="1"/>
  <c r="J56" i="7" s="1"/>
  <c r="K56" i="7" s="1"/>
  <c r="B52" i="7"/>
  <c r="P46" i="7" l="1"/>
  <c r="N27" i="8"/>
  <c r="N28" i="8" s="1"/>
  <c r="M47" i="2"/>
  <c r="A40" i="4" s="1"/>
  <c r="A39" i="4"/>
  <c r="Q10" i="2"/>
  <c r="L47" i="7"/>
  <c r="K10" i="6" s="1"/>
  <c r="B55" i="7"/>
  <c r="K11" i="6"/>
  <c r="K13" i="6" s="1"/>
  <c r="C52" i="7"/>
  <c r="L56" i="7"/>
  <c r="A48" i="4" s="1"/>
  <c r="A65" i="4" l="1"/>
  <c r="M48" i="2"/>
  <c r="Q47" i="2"/>
  <c r="M49" i="2"/>
  <c r="C55" i="7"/>
  <c r="K14" i="6"/>
  <c r="K48" i="6" s="1"/>
  <c r="L48" i="7" s="1"/>
  <c r="D52" i="7"/>
  <c r="M50" i="2" l="1"/>
  <c r="A41" i="4"/>
  <c r="Q49" i="2"/>
  <c r="Q48" i="2"/>
  <c r="A42" i="4"/>
  <c r="M51" i="2"/>
  <c r="D55" i="7"/>
  <c r="L41" i="7"/>
  <c r="L49" i="7"/>
  <c r="E52" i="7"/>
  <c r="L50" i="7" l="1"/>
  <c r="P50" i="7" s="1"/>
  <c r="P49" i="7"/>
  <c r="A43" i="4"/>
  <c r="Q51" i="2"/>
  <c r="E55" i="7"/>
  <c r="A26" i="4"/>
  <c r="G52" i="7"/>
  <c r="N52" i="7"/>
  <c r="N55" i="7"/>
  <c r="B4" i="4"/>
  <c r="A24" i="4" s="1"/>
  <c r="G55" i="7" l="1"/>
  <c r="N54" i="7"/>
  <c r="H52" i="7"/>
  <c r="H55" i="7" l="1"/>
  <c r="I52" i="7"/>
  <c r="I55" i="7" l="1"/>
  <c r="J52" i="7"/>
  <c r="J55" i="7" l="1"/>
  <c r="K52" i="7"/>
  <c r="O12" i="2"/>
  <c r="C26" i="2"/>
  <c r="B59" i="9" l="1"/>
  <c r="B55" i="9"/>
  <c r="B56" i="9"/>
  <c r="K55" i="7"/>
  <c r="A51" i="4"/>
  <c r="L52" i="7"/>
  <c r="O26" i="2"/>
  <c r="A19" i="4" s="1"/>
  <c r="Q26" i="2"/>
  <c r="A45" i="4" s="1"/>
  <c r="P52" i="7" l="1"/>
  <c r="B34" i="4"/>
  <c r="L55" i="7"/>
  <c r="P54" i="7"/>
  <c r="P55" i="7"/>
  <c r="A49" i="4"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<sst xmlns="http://schemas.openxmlformats.org/spreadsheetml/2006/main" count="305" uniqueCount="202">
  <si>
    <t>INFORMATIONS GENERALES</t>
  </si>
  <si>
    <t xml:space="preserve">Nom de la collectivité : </t>
  </si>
  <si>
    <t xml:space="preserve">Année de départ de l'analyse rétrospective : </t>
  </si>
  <si>
    <t>Unité de référence pour l'analyse</t>
  </si>
  <si>
    <t>en milliers d'euros</t>
  </si>
  <si>
    <t xml:space="preserve">Nombre d'habitants : </t>
  </si>
  <si>
    <t>en %</t>
  </si>
  <si>
    <t>DEPENSES ET RECETTES A PRENDRE EN COMPTE DANS L'ANALYSE</t>
  </si>
  <si>
    <t>SECTION DE FONCTIONNEMENT</t>
  </si>
  <si>
    <t>Charges de personnel</t>
  </si>
  <si>
    <t>Charges financières (intérêts de la dette)</t>
  </si>
  <si>
    <t>Autres dépenses réelles de fonctionnement</t>
  </si>
  <si>
    <t>Autres recettes réelles de fonctionnement</t>
  </si>
  <si>
    <t>SECTION D'INVESTISSEMENT</t>
  </si>
  <si>
    <t>Remboursement du capital la dette</t>
  </si>
  <si>
    <t>FCTVA</t>
  </si>
  <si>
    <t>Emprunts nouveaux</t>
  </si>
  <si>
    <t>Autres dépenses d'investissement</t>
  </si>
  <si>
    <t>Autres recettes d'investissement</t>
  </si>
  <si>
    <t>PERIODE DE COMPARAISON</t>
  </si>
  <si>
    <t>Année 1</t>
  </si>
  <si>
    <t>Année 2</t>
  </si>
  <si>
    <t>en euros</t>
  </si>
  <si>
    <t>en millions d'euros</t>
  </si>
  <si>
    <t>Ou Excédent reporté=Article 002 (résultat fonctionnement reporté)</t>
  </si>
  <si>
    <t>&lt;&lt;&lt;&lt;&lt;&lt;&lt;&lt;&lt;RETROSPECTIVE&lt;&lt;&lt;&lt;&lt;&lt;&lt;&lt;&lt;&lt;</t>
  </si>
  <si>
    <t>&gt;&gt;&gt;&gt;&gt;&gt;&gt;&gt;&gt;&gt;&gt;&gt;&gt;&gt;&gt;&gt;&gt;&gt;PROSPECTIVE&gt;&gt;&gt;&gt;&gt;&gt;&gt;&gt;&gt;&gt;&gt;&gt;&gt;&gt;&gt;&gt;&gt;&gt;</t>
  </si>
  <si>
    <t>DEPENSES RELLES DE FONCTIONNEMENT</t>
  </si>
  <si>
    <t>Hypothèse 
prospective</t>
  </si>
  <si>
    <t xml:space="preserve">Total des dépenses réelles de fonctionnement </t>
  </si>
  <si>
    <t>Oui</t>
  </si>
  <si>
    <t>Non</t>
  </si>
  <si>
    <t>RECETTES RELLES DE FONCTIONNEMENT</t>
  </si>
  <si>
    <t>Hypothèse prospective</t>
  </si>
  <si>
    <t xml:space="preserve">Total des recettes réelles de fonctionnement </t>
  </si>
  <si>
    <t>Capacité d'autofinancement brute</t>
  </si>
  <si>
    <t>Taux d'épargne brute</t>
  </si>
  <si>
    <t>HYPOTHESES (en % d'évolution)</t>
  </si>
  <si>
    <t>Type de dépense ou recette</t>
  </si>
  <si>
    <t xml:space="preserve">Total impact annuel cumulé  </t>
  </si>
  <si>
    <t>REPRISE DES EXCEDENTS OU DEFICITS DE LA SECTION</t>
  </si>
  <si>
    <t>Total des recettes réelles d'investissement</t>
  </si>
  <si>
    <t>Total des recettes réelles d'investissement hors excédents reportés</t>
  </si>
  <si>
    <t>DEPENSES RELLES D'INVESTISSEMENT</t>
  </si>
  <si>
    <t>Eligible
 FCTVA</t>
  </si>
  <si>
    <t>Total des dépenses réelles d'investissement</t>
  </si>
  <si>
    <t>Autres dépenses réelles d'investissement</t>
  </si>
  <si>
    <t>RECETTES RELLES D'INVESTISSEMENT</t>
  </si>
  <si>
    <t>Nouvel emprunt</t>
  </si>
  <si>
    <t>Financement des investissements (réserves et emprunts nouveaux)</t>
  </si>
  <si>
    <t>Fonds de roulement au 01/01 (réserve) - A</t>
  </si>
  <si>
    <t>Besoin ou capacité annuel de financement - B</t>
  </si>
  <si>
    <t>Emprunt nouveau - C</t>
  </si>
  <si>
    <t>Fonds de roulement au 31/12/ =(A-B+C)</t>
  </si>
  <si>
    <t>Fonds de roulement sans emprunt nouveau =(A-B)</t>
  </si>
  <si>
    <t>Indicateurs sur la dette</t>
  </si>
  <si>
    <t>Nombre d'habitants</t>
  </si>
  <si>
    <t>En cours de dette par habitant</t>
  </si>
  <si>
    <t>Capacité dynamique de désendettement</t>
  </si>
  <si>
    <t>Cumul des investissement</t>
  </si>
  <si>
    <t>ECHEANCES DE LA DETTE ACTUELLE</t>
  </si>
  <si>
    <t>Remboursement du capital des emprunts déjà contractés</t>
  </si>
  <si>
    <t>Intérêts (charge financière)</t>
  </si>
  <si>
    <t>CALCUL ET MODALITE DU RECOURS A L'EMPRUNT NOUVEAU</t>
  </si>
  <si>
    <t>Besoin de financement des investissements</t>
  </si>
  <si>
    <t>Fonds de roulement au 01/01</t>
  </si>
  <si>
    <t>Seuil minimul souhaité du fonds de roulement au 31/12</t>
  </si>
  <si>
    <t>Besoin d'emprint</t>
  </si>
  <si>
    <t>Besoin d'emprunt (calcul automatique)</t>
  </si>
  <si>
    <t>Durée du nouvel emprunt (en années)</t>
  </si>
  <si>
    <t>Taux estimé du nouvel emprunt (en %)</t>
  </si>
  <si>
    <t>Evolution du capital restant du par emprunt</t>
  </si>
  <si>
    <t>Calcul de l'impact de la nouvelle dette</t>
  </si>
  <si>
    <t>Remboursement Capital nouvelle date</t>
  </si>
  <si>
    <t>Intérêts</t>
  </si>
  <si>
    <t>Mode de reprise des données (saisie automatique recommandée)</t>
  </si>
  <si>
    <t>Saisie automatique</t>
  </si>
  <si>
    <t>CALCUL AUTOMATIQUE - DETTE NOUVELLE</t>
  </si>
  <si>
    <t>Remboursement du capital des emprunts</t>
  </si>
  <si>
    <t xml:space="preserve"> Dont impact de la nouvelle dette (prospective)</t>
  </si>
  <si>
    <t>SAISIE MANUELLE - DETTE NOUVELLE</t>
  </si>
  <si>
    <t>Montant des nouveau emprunts</t>
  </si>
  <si>
    <t>Saisie manuelle</t>
  </si>
  <si>
    <t>Nouvel Emprunt</t>
  </si>
  <si>
    <t>Rmbst Capital</t>
  </si>
  <si>
    <t>Rmbst Intérêt</t>
  </si>
  <si>
    <t>Objet</t>
  </si>
  <si>
    <t>LA SECTION DE FONCTIONNEMENT</t>
  </si>
  <si>
    <t>LES INVESTISSEMENTS ET LEUR FINANCEMENT</t>
  </si>
  <si>
    <t>Variation de la dette</t>
  </si>
  <si>
    <t xml:space="preserve">Variation de la dette </t>
  </si>
  <si>
    <t>Indicateur</t>
  </si>
  <si>
    <t>Option 1 : recommandée</t>
  </si>
  <si>
    <t>N° du scénario</t>
  </si>
  <si>
    <t>&gt;Pratique si plusieurs scénarios envisagés</t>
  </si>
  <si>
    <t>Evolution annuelle du nombre d'habitants (estimation)</t>
  </si>
  <si>
    <t>RETRAIT DES EXCEDENTS DE FONCTIONNEMENT</t>
  </si>
  <si>
    <t>Montant annuel de la dépense</t>
  </si>
  <si>
    <t>Montant annuel de la recette</t>
  </si>
  <si>
    <t>REPRISE DE L'EXCEDENT OU DEFICIT</t>
  </si>
  <si>
    <t>Déficit reporté=Article 002 (résultat fonctionnement reporté)</t>
  </si>
  <si>
    <t>Récurrent</t>
  </si>
  <si>
    <t>RECOURS A LA DETTE ET REMBOURSEMENT DES ANNUITES</t>
  </si>
  <si>
    <t>&gt;Il est recommandé de conserver l'unité en "milliers d'euros"</t>
  </si>
  <si>
    <t>dont Article 1068 (recette)</t>
  </si>
  <si>
    <t>ANALYSE / INDICATEURS DU FONCTIONNEMENT</t>
  </si>
  <si>
    <t>ANALYSE / INDICATEURS FINANCEMENT DES INVESTISSEMENTS</t>
  </si>
  <si>
    <t>A saisir</t>
  </si>
  <si>
    <t>Dépense (déficit antérieur d'investissement) : Article 001</t>
  </si>
  <si>
    <t>Recette (excédent antérieur) : Article 001</t>
  </si>
  <si>
    <t>COMMENTAIRES COMPLEMENTAIRES</t>
  </si>
  <si>
    <t>cf module Dette</t>
  </si>
  <si>
    <t>Dépenses à analyser</t>
  </si>
  <si>
    <t>Recettes à analyser</t>
  </si>
  <si>
    <r>
      <rPr>
        <i/>
        <sz val="8"/>
        <color theme="1"/>
        <rFont val="Aptos Narrow"/>
        <family val="2"/>
      </rPr>
      <t>&gt;</t>
    </r>
    <r>
      <rPr>
        <i/>
        <sz val="8"/>
        <color theme="1"/>
        <rFont val="Ebrima"/>
      </rPr>
      <t>Il est recommandé d'indiquer la population DGF</t>
    </r>
  </si>
  <si>
    <t>&gt;Saisir ce champ si l'article 001 est constaté en dépense (déficit)</t>
  </si>
  <si>
    <t>&gt;Saisir ce champ si l'article 001 est constaté en recette (excédent).</t>
  </si>
  <si>
    <t>&gt;Saisir ce champ si l'article 002 est en recette (excédent).</t>
  </si>
  <si>
    <t>&gt;Saisir ce champ si l'article 002 est en dépenses (déficit)</t>
  </si>
  <si>
    <t>&lt;&lt;&lt; Deux options  possibles (à selectionner en cliquant sur la cellule)</t>
  </si>
  <si>
    <t>PROJETS OU GROSSES VARIATIONS EN SECTION DE FONCTIONNEMENT</t>
  </si>
  <si>
    <t>Inflation mesurée</t>
  </si>
  <si>
    <t>Inflation plus importante</t>
  </si>
  <si>
    <t>Evolution des bases fiscales</t>
  </si>
  <si>
    <t>Evolution Fluides</t>
  </si>
  <si>
    <t>Evolution charge RH</t>
  </si>
  <si>
    <t>Evolution des dotations</t>
  </si>
  <si>
    <t>Ou Option 2 : non recommandée</t>
  </si>
  <si>
    <r>
      <rPr>
        <sz val="9"/>
        <color rgb="FFBF11A6"/>
        <rFont val="Aptos Narrow"/>
        <family val="2"/>
      </rPr>
      <t>&gt;</t>
    </r>
    <r>
      <rPr>
        <i/>
        <sz val="9"/>
        <color rgb="FFBF11A6"/>
        <rFont val="Ebrima"/>
      </rPr>
      <t>Les éléments pré-saisis (en violet) sont "figés"</t>
    </r>
  </si>
  <si>
    <t>Stable (gel)</t>
  </si>
  <si>
    <t xml:space="preserve"> </t>
  </si>
  <si>
    <t>Capacité d'autofinancement nette (après remboursement des emprunts)</t>
  </si>
  <si>
    <t>Capacité d'autofinancement nette (hors non récurrent)</t>
  </si>
  <si>
    <t>Capacité d'autofinancement brute (hors non récurrent)</t>
  </si>
  <si>
    <t>Délai de perception du FCTVA</t>
  </si>
  <si>
    <t>N</t>
  </si>
  <si>
    <t>&gt;N-1 = perception du FCTVA sur les dépenses de l'année écoulée</t>
  </si>
  <si>
    <t>N+1</t>
  </si>
  <si>
    <t>N+2</t>
  </si>
  <si>
    <t>Il y a-t-il des montants conséquents d'amortissement  ?</t>
  </si>
  <si>
    <t>Type de risque</t>
  </si>
  <si>
    <t>Contentieux juridique</t>
  </si>
  <si>
    <t>Urbanisme</t>
  </si>
  <si>
    <t>RH</t>
  </si>
  <si>
    <t>Autre risque financier</t>
  </si>
  <si>
    <t>Risque</t>
  </si>
  <si>
    <t>Intitulé du risque</t>
  </si>
  <si>
    <t>Je n'ai pas l'information</t>
  </si>
  <si>
    <t>Année de disparition du risque</t>
  </si>
  <si>
    <t>Année d'apparition du risque</t>
  </si>
  <si>
    <t>AUTRES RISQUES FINANCIERS ET ENJEUX CONNUS</t>
  </si>
  <si>
    <t>est en excédent annuel structurel important</t>
  </si>
  <si>
    <t>trésorerie rattachée au budget principal</t>
  </si>
  <si>
    <t>générera prochainement un déficit important</t>
  </si>
  <si>
    <t>générera prochainement un excédent important</t>
  </si>
  <si>
    <t>Budget Annexe ou satellite n°1</t>
  </si>
  <si>
    <t>trésorerie indépendante du budget principal</t>
  </si>
  <si>
    <t>trésorerie dont le régime n'est pas connu</t>
  </si>
  <si>
    <t>LES RISQUES FINANCIERS</t>
  </si>
  <si>
    <t>L'IMPACT BUDGETAIRE DES AMORTISSEMENTS</t>
  </si>
  <si>
    <t>est en déficit annuel structurel non négligeable</t>
  </si>
  <si>
    <t>Intitulé du budget ou du satellite</t>
  </si>
  <si>
    <t>Montant des provisions</t>
  </si>
  <si>
    <t>Remboursement du capital de la dette</t>
  </si>
  <si>
    <t>Encours de dette au 31/12/</t>
  </si>
  <si>
    <t>Choix n°1</t>
  </si>
  <si>
    <t>Choix n°2</t>
  </si>
  <si>
    <t>Sélectionner un élément</t>
  </si>
  <si>
    <t>Exercice</t>
  </si>
  <si>
    <t>Graphique en ligne  (choisir jusqu'à deux items à intégrer)</t>
  </si>
  <si>
    <t>Graphiques personnalisés</t>
  </si>
  <si>
    <t>AUTRES ENJEUX FINANCIERS DE LA COLLECTIVITE</t>
  </si>
  <si>
    <t>Budget Annexe ou satellite n°2</t>
  </si>
  <si>
    <t>Le montant des investissements "amortissables" augmentera-t-il beaucoup ces prochaines années ?</t>
  </si>
  <si>
    <t>Les éléments relatifs aux autres risques et enjeux financiers sont évoqués en annexe du présent document.</t>
  </si>
  <si>
    <r>
      <t xml:space="preserve">ElanVision - Version n°1.4 </t>
    </r>
    <r>
      <rPr>
        <sz val="8"/>
        <color theme="8" tint="-0.249977111117893"/>
        <rFont val="Ebrima"/>
      </rPr>
      <t>(de avril 2026)</t>
    </r>
  </si>
  <si>
    <t>Taxe foncière et taxe d'habitation</t>
  </si>
  <si>
    <t>Subventions d'investissement reçues</t>
  </si>
  <si>
    <t>Budget annexe 1</t>
  </si>
  <si>
    <t>Graphique en bâton  (choisir jusqu'à deux items à intégrer)</t>
  </si>
  <si>
    <t>Ce risque a-t-il déjà  fait l'objet d'une provision budgétaire ?</t>
  </si>
  <si>
    <t xml:space="preserve">                                                                         </t>
  </si>
  <si>
    <t>Il y a-t-il un budget/entité annexe avec un enjeu financier ?</t>
  </si>
  <si>
    <t>Partie 3 : AUTRES RISQUES FINANCIERS ET ENJEUX CONNUS</t>
  </si>
  <si>
    <t>LE POIDS DES BUDGETS OU ENTITES ANNEXES</t>
  </si>
  <si>
    <t>est en équilibre : ni déficit ni excédent structurel</t>
  </si>
  <si>
    <t>&gt;&gt;Mettre le montant des reprises de provisions</t>
  </si>
  <si>
    <t>&gt;&gt;Mettre le montant des dotations aux amortissements</t>
  </si>
  <si>
    <t>Taux des amortissement net sur la capacité d'autofinancement nette</t>
  </si>
  <si>
    <t>Quelle sera la situation financière de ce budget les années suivantes ?</t>
  </si>
  <si>
    <t>Quelle sera la situation financière de ce budget les années suivante ?</t>
  </si>
  <si>
    <t>Quel est le régime de la trésorerie ("compte bancaire") de ce budget ?</t>
  </si>
  <si>
    <t>Ce bloc est facultatif. Il n'est pas impératif de le renseigner pour  réaliser  l'analyse. A saisir uniquement si enjeux avérés (avec infos fiables disponibles)</t>
  </si>
  <si>
    <t>ELEMENTS FACULTATIFS : Autres enjeux financiers</t>
  </si>
  <si>
    <t>Il y a-t-il un risque financier(contentieux ,aléas) connu ?</t>
  </si>
  <si>
    <t>1-RISQUES FINANCIERS (contentieux ou aléas)</t>
  </si>
  <si>
    <t>2-AMORTISSEMENTS</t>
  </si>
  <si>
    <t>3-BUDGETS OU ENTITES ANNEXES (avec enjeux financiers)</t>
  </si>
  <si>
    <t>Analyse de volume des riques</t>
  </si>
  <si>
    <t>Analyse du risque sur les budgets/entités annexes</t>
  </si>
  <si>
    <t>Insérez ici, si vous le souhaitez, des commentaires complémentaires à intégrer au rapport.</t>
  </si>
  <si>
    <t>Lotissement communal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</si>
</sst>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0.0%"/>
    <numFmt numFmtId="165" formatCode="0.0"/>
    <numFmt numFmtId="166" formatCode="#,##0.0"/>
    <numFmt numFmtId="167" formatCode="0.000%"/>
  </numFmts>
  <fonts count="64" x14ac:knownFonts="1">
    <font>
      <sz val="11"/>
      <color theme="1"/>
      <name val="Calibri"/>
      <family val="2"/>
      <scheme val="minor"/>
    </font>
    <font>
      <sz val="10"/>
      <color theme="1"/>
      <name val="Ebrima"/>
    </font>
    <font>
      <b/>
      <sz val="10"/>
      <color theme="1"/>
      <name val="Ebrima"/>
    </font>
    <font>
      <u/>
      <sz val="10"/>
      <color theme="1"/>
      <name val="Ebrima"/>
    </font>
    <font>
      <sz val="11"/>
      <color theme="1"/>
      <name val="Calibri"/>
      <family val="2"/>
      <scheme val="minor"/>
    </font>
    <font>
      <b/>
      <sz val="11"/>
      <color theme="1"/>
      <name val="Ebrima"/>
    </font>
    <font>
      <b/>
      <sz val="14"/>
      <color theme="1"/>
      <name val="Ebrima"/>
    </font>
    <font>
      <sz val="11"/>
      <color theme="1"/>
      <name val="Ebrima"/>
    </font>
    <font>
      <b/>
      <sz val="10.5"/>
      <color theme="1"/>
      <name val="Ebrima"/>
    </font>
    <font>
      <b/>
      <u/>
      <sz val="11"/>
      <color theme="1"/>
      <name val="Ebrima"/>
    </font>
    <font>
      <b/>
      <sz val="9"/>
      <color theme="1"/>
      <name val="Ebrima"/>
    </font>
    <font>
      <b/>
      <sz val="10"/>
      <color rgb="FFFF0000"/>
      <name val="Ebrima"/>
    </font>
    <font>
      <b/>
      <sz val="11"/>
      <name val="Ebrima"/>
    </font>
    <font>
      <i/>
      <sz val="10"/>
      <color theme="1"/>
      <name val="Ebrima"/>
    </font>
    <font>
      <sz val="10"/>
      <color rgb="FFFF0000"/>
      <name val="Ebrima"/>
    </font>
    <font>
      <i/>
      <sz val="8"/>
      <color theme="1"/>
      <name val="Ebrima"/>
    </font>
    <font>
      <i/>
      <u/>
      <sz val="10"/>
      <color theme="1"/>
      <name val="Ebrima"/>
    </font>
    <font>
      <b/>
      <i/>
      <u/>
      <sz val="11"/>
      <color theme="1"/>
      <name val="Ebrima"/>
    </font>
    <font>
      <i/>
      <u/>
      <sz val="11"/>
      <color theme="1"/>
      <name val="Ebrima"/>
    </font>
    <font>
      <sz val="8"/>
      <color theme="1"/>
      <name val="Ebrima"/>
    </font>
    <font>
      <sz val="10"/>
      <name val="Ebrima"/>
    </font>
    <font>
      <b/>
      <u/>
      <sz val="11"/>
      <name val="Ebrima"/>
    </font>
    <font>
      <b/>
      <sz val="11"/>
      <color rgb="FFFF0000"/>
      <name val="Ebrima"/>
    </font>
    <font>
      <i/>
      <sz val="10"/>
      <name val="Ebrima"/>
    </font>
    <font>
      <sz val="8"/>
      <color rgb="FFFF0000"/>
      <name val="Ebrima"/>
    </font>
    <font>
      <b/>
      <u/>
      <sz val="10"/>
      <color theme="1"/>
      <name val="Ebrima"/>
    </font>
    <font>
      <sz val="11"/>
      <color rgb="FFFF0000"/>
      <name val="Ebrima"/>
    </font>
    <font>
      <u/>
      <sz val="11"/>
      <color theme="1"/>
      <name val="Ebrima"/>
    </font>
    <font>
      <sz val="9"/>
      <color theme="1"/>
      <name val="Ebrima"/>
    </font>
    <font>
      <b/>
      <sz val="10.5"/>
      <color theme="0"/>
      <name val="Ebrima"/>
    </font>
    <font>
      <b/>
      <sz val="14"/>
      <color theme="0"/>
      <name val="Ebrima"/>
    </font>
    <font>
      <sz val="10.5"/>
      <color theme="0"/>
      <name val="Ebrima"/>
    </font>
    <font>
      <i/>
      <sz val="10"/>
      <color theme="0"/>
      <name val="Ebrima"/>
    </font>
    <font>
      <b/>
      <sz val="8"/>
      <color rgb="FF2B956A"/>
      <name val="Ebrima"/>
    </font>
    <font>
      <b/>
      <sz val="12"/>
      <color theme="0"/>
      <name val="Ebrima"/>
    </font>
    <font>
      <b/>
      <sz val="11"/>
      <color theme="0"/>
      <name val="Ebrima"/>
    </font>
    <font>
      <sz val="11"/>
      <color rgb="FF002060"/>
      <name val="Ebrima"/>
    </font>
    <font>
      <sz val="10"/>
      <color rgb="FFE6F3FE"/>
      <name val="Ebrima"/>
    </font>
    <font>
      <sz val="11"/>
      <color rgb="FFC00000"/>
      <name val="Ebrima"/>
    </font>
    <font>
      <b/>
      <sz val="11"/>
      <color rgb="FFC00000"/>
      <name val="Ebrima"/>
    </font>
    <font>
      <b/>
      <sz val="10"/>
      <color theme="0"/>
      <name val="Ebrima"/>
    </font>
    <font>
      <sz val="9"/>
      <color theme="0"/>
      <name val="Ebrima"/>
    </font>
    <font>
      <sz val="10"/>
      <color theme="0"/>
      <name val="Ebrima"/>
    </font>
    <font>
      <b/>
      <sz val="11"/>
      <color theme="8" tint="-0.249977111117893"/>
      <name val="Ebrima"/>
    </font>
    <font>
      <i/>
      <sz val="10"/>
      <color rgb="FFBF11A6"/>
      <name val="Ebrima"/>
    </font>
    <font>
      <b/>
      <u/>
      <sz val="12"/>
      <color theme="1"/>
      <name val="Ebrima"/>
    </font>
    <font>
      <i/>
      <sz val="9"/>
      <color theme="1"/>
      <name val="Ebrima"/>
    </font>
    <font>
      <i/>
      <sz val="11"/>
      <color theme="1"/>
      <name val="Ebrima"/>
    </font>
    <font>
      <b/>
      <sz val="12"/>
      <color theme="1"/>
      <name val="Ebrima"/>
    </font>
    <font>
      <b/>
      <sz val="13"/>
      <color theme="0"/>
      <name val="Ebrima"/>
    </font>
    <font>
      <i/>
      <sz val="9"/>
      <name val="Ebrima"/>
    </font>
    <font>
      <i/>
      <sz val="8"/>
      <color theme="1"/>
      <name val="Aptos Narrow"/>
      <family val="2"/>
    </font>
    <font>
      <b/>
      <i/>
      <u/>
      <sz val="9"/>
      <color theme="1"/>
      <name val="Ebrima"/>
    </font>
    <font>
      <sz val="10"/>
      <color rgb="FFBF11A6"/>
      <name val="Ebrima"/>
    </font>
    <font>
      <sz val="8"/>
      <color rgb="FFBF11A6"/>
      <name val="Ebrima"/>
    </font>
    <font>
      <sz val="10"/>
      <color theme="1"/>
      <name val="Calibri"/>
      <family val="2"/>
      <scheme val="minor"/>
    </font>
    <font>
      <i/>
      <sz val="9"/>
      <color rgb="FFBF11A6"/>
      <name val="Ebrima"/>
    </font>
    <font>
      <sz val="9"/>
      <color rgb="FFBF11A6"/>
      <name val="Aptos Narrow"/>
      <family val="2"/>
    </font>
    <font>
      <i/>
      <sz val="9"/>
      <color rgb="FFBF11A6"/>
      <name val="Ebrima"/>
      <family val="2"/>
    </font>
    <font>
      <sz val="8"/>
      <color theme="8" tint="-0.249977111117893"/>
      <name val="Ebrima"/>
    </font>
    <font>
      <sz val="9"/>
      <color theme="1"/>
      <name val="Calibri"/>
      <family val="2"/>
      <scheme val="minor"/>
    </font>
    <font>
      <u/>
      <sz val="10.5"/>
      <color theme="1"/>
      <name val="Ebrima"/>
    </font>
    <font>
      <sz val="10"/>
      <color theme="0" tint="-0.499984740745262"/>
      <name val="Ebrima"/>
    </font>
    <font>
      <u/>
      <sz val="9.5"/>
      <color theme="1"/>
      <name val="Ebrima"/>
    </font>
  </fonts>
  <fills count="23">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rgb="FFF0F0F0"/>
        <bgColor indexed="64"/>
      </patternFill>
    </fill>
    <fill>
      <patternFill patternType="solid">
        <fgColor rgb="FFEAEAEA"/>
        <bgColor indexed="64"/>
      </patternFill>
    </fill>
    <fill>
      <patternFill patternType="solid">
        <fgColor rgb="FFFFFFCC"/>
        <bgColor indexed="64"/>
      </patternFill>
    </fill>
    <fill>
      <patternFill patternType="solid">
        <fgColor theme="0" tint="-4.9989318521683403E-2"/>
        <bgColor indexed="64"/>
      </patternFill>
    </fill>
    <fill>
      <patternFill patternType="solid">
        <fgColor theme="8" tint="0.59999389629810485"/>
        <bgColor indexed="64"/>
      </patternFill>
    </fill>
    <fill>
      <patternFill patternType="solid">
        <fgColor rgb="FFE6F3FE"/>
        <bgColor indexed="64"/>
      </patternFill>
    </fill>
    <fill>
      <patternFill patternType="solid">
        <fgColor rgb="FFECFEF5"/>
        <bgColor indexed="64"/>
      </patternFill>
    </fill>
    <fill>
      <patternFill patternType="solid">
        <fgColor rgb="FFFEFFF7"/>
        <bgColor indexed="64"/>
      </patternFill>
    </fill>
    <fill>
      <patternFill patternType="solid">
        <fgColor rgb="FFFCFFE7"/>
        <bgColor indexed="64"/>
      </patternFill>
    </fill>
    <fill>
      <patternFill patternType="solid">
        <fgColor theme="6" tint="0.79998168889431442"/>
        <bgColor indexed="64"/>
      </patternFill>
    </fill>
    <fill>
      <patternFill patternType="solid">
        <fgColor theme="8" tint="-0.249977111117893"/>
        <bgColor indexed="64"/>
      </patternFill>
    </fill>
    <fill>
      <patternFill patternType="solid">
        <fgColor rgb="FF0070C0"/>
        <bgColor indexed="64"/>
      </patternFill>
    </fill>
    <fill>
      <patternFill patternType="solid">
        <fgColor rgb="FF2B956A"/>
        <bgColor indexed="64"/>
      </patternFill>
    </fill>
    <fill>
      <patternFill patternType="solid">
        <fgColor theme="9" tint="0.59999389629810485"/>
        <bgColor indexed="64"/>
      </patternFill>
    </fill>
    <fill>
      <patternFill patternType="solid">
        <fgColor theme="3" tint="-0.249977111117893"/>
        <bgColor indexed="64"/>
      </patternFill>
    </fill>
    <fill>
      <patternFill patternType="solid">
        <fgColor theme="3" tint="0.59999389629810485"/>
        <bgColor indexed="64"/>
      </patternFill>
    </fill>
    <fill>
      <patternFill patternType="solid">
        <fgColor theme="5" tint="0.59999389629810485"/>
        <bgColor indexed="64"/>
      </patternFill>
    </fill>
    <fill>
      <patternFill patternType="solid">
        <fgColor rgb="FF333F4F"/>
        <bgColor indexed="64"/>
      </patternFill>
    </fill>
    <fill>
      <patternFill patternType="solid">
        <fgColor theme="9" tint="0.79998168889431442"/>
        <bgColor indexed="64"/>
      </patternFill>
    </fill>
  </fills>
  <borders count="186">
    <border>
      <left/>
      <right/>
      <top/>
      <bottom/>
      <diagonal/>
    </border>
    <border>
      <left style="hair">
        <color indexed="64"/>
      </left>
      <right style="hair">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style="hair">
        <color indexed="64"/>
      </left>
      <right style="hair">
        <color indexed="64"/>
      </right>
      <top style="hair">
        <color indexed="64"/>
      </top>
      <bottom style="thin">
        <color indexed="64"/>
      </bottom>
      <diagonal/>
    </border>
    <border>
      <left style="medium">
        <color indexed="64"/>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medium">
        <color indexed="64"/>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medium">
        <color indexed="64"/>
      </left>
      <right/>
      <top/>
      <bottom/>
      <diagonal/>
    </border>
    <border>
      <left style="medium">
        <color indexed="64"/>
      </left>
      <right style="hair">
        <color indexed="64"/>
      </right>
      <top style="hair">
        <color indexed="64"/>
      </top>
      <bottom style="medium">
        <color indexed="64"/>
      </bottom>
      <diagonal/>
    </border>
    <border>
      <left style="hair">
        <color indexed="64"/>
      </left>
      <right style="hair">
        <color indexed="64"/>
      </right>
      <top style="hair">
        <color indexed="64"/>
      </top>
      <bottom style="medium">
        <color indexed="64"/>
      </bottom>
      <diagonal/>
    </border>
    <border>
      <left style="hair">
        <color indexed="64"/>
      </left>
      <right style="medium">
        <color indexed="64"/>
      </right>
      <top style="hair">
        <color indexed="64"/>
      </top>
      <bottom style="medium">
        <color indexed="64"/>
      </bottom>
      <diagonal/>
    </border>
    <border>
      <left/>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hair">
        <color indexed="64"/>
      </left>
      <right style="hair">
        <color indexed="64"/>
      </right>
      <top/>
      <bottom style="hair">
        <color indexed="64"/>
      </bottom>
      <diagonal/>
    </border>
    <border>
      <left style="medium">
        <color indexed="64"/>
      </left>
      <right style="hair">
        <color indexed="64"/>
      </right>
      <top/>
      <bottom style="hair">
        <color indexed="64"/>
      </bottom>
      <diagonal/>
    </border>
    <border>
      <left style="hair">
        <color indexed="64"/>
      </left>
      <right style="medium">
        <color indexed="64"/>
      </right>
      <top/>
      <bottom style="hair">
        <color indexed="64"/>
      </bottom>
      <diagonal/>
    </border>
    <border>
      <left style="medium">
        <color indexed="64"/>
      </left>
      <right/>
      <top style="medium">
        <color indexed="64"/>
      </top>
      <bottom style="dotted">
        <color indexed="64"/>
      </bottom>
      <diagonal/>
    </border>
    <border>
      <left/>
      <right/>
      <top style="medium">
        <color indexed="64"/>
      </top>
      <bottom style="dotted">
        <color indexed="64"/>
      </bottom>
      <diagonal/>
    </border>
    <border>
      <left/>
      <right style="medium">
        <color indexed="64"/>
      </right>
      <top style="medium">
        <color indexed="64"/>
      </top>
      <bottom style="dotted">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hair">
        <color indexed="64"/>
      </right>
      <top style="medium">
        <color indexed="64"/>
      </top>
      <bottom style="dashDotDot">
        <color indexed="64"/>
      </bottom>
      <diagonal/>
    </border>
    <border>
      <left style="hair">
        <color indexed="64"/>
      </left>
      <right style="hair">
        <color indexed="64"/>
      </right>
      <top style="medium">
        <color indexed="64"/>
      </top>
      <bottom style="dashDotDot">
        <color indexed="64"/>
      </bottom>
      <diagonal/>
    </border>
    <border>
      <left style="hair">
        <color indexed="64"/>
      </left>
      <right style="medium">
        <color indexed="64"/>
      </right>
      <top style="medium">
        <color indexed="64"/>
      </top>
      <bottom style="dashDotDot">
        <color indexed="64"/>
      </bottom>
      <diagonal/>
    </border>
    <border>
      <left/>
      <right style="hair">
        <color indexed="64"/>
      </right>
      <top style="medium">
        <color indexed="64"/>
      </top>
      <bottom style="dashDotDot">
        <color indexed="64"/>
      </bottom>
      <diagonal/>
    </border>
    <border>
      <left/>
      <right style="hair">
        <color indexed="64"/>
      </right>
      <top/>
      <bottom style="hair">
        <color indexed="64"/>
      </bottom>
      <diagonal/>
    </border>
    <border>
      <left/>
      <right style="hair">
        <color indexed="64"/>
      </right>
      <top style="hair">
        <color indexed="64"/>
      </top>
      <bottom style="hair">
        <color indexed="64"/>
      </bottom>
      <diagonal/>
    </border>
    <border>
      <left/>
      <right style="hair">
        <color indexed="64"/>
      </right>
      <top style="hair">
        <color indexed="64"/>
      </top>
      <bottom style="medium">
        <color indexed="64"/>
      </bottom>
      <diagonal/>
    </border>
    <border>
      <left style="hair">
        <color indexed="64"/>
      </left>
      <right style="dashDotDot">
        <color indexed="64"/>
      </right>
      <top style="medium">
        <color indexed="64"/>
      </top>
      <bottom style="dashDotDot">
        <color indexed="64"/>
      </bottom>
      <diagonal/>
    </border>
    <border>
      <left style="hair">
        <color indexed="64"/>
      </left>
      <right style="dashDotDot">
        <color indexed="64"/>
      </right>
      <top/>
      <bottom style="hair">
        <color indexed="64"/>
      </bottom>
      <diagonal/>
    </border>
    <border>
      <left style="hair">
        <color indexed="64"/>
      </left>
      <right style="dashDotDot">
        <color indexed="64"/>
      </right>
      <top style="hair">
        <color indexed="64"/>
      </top>
      <bottom style="hair">
        <color indexed="64"/>
      </bottom>
      <diagonal/>
    </border>
    <border>
      <left style="hair">
        <color indexed="64"/>
      </left>
      <right style="dashDotDot">
        <color indexed="64"/>
      </right>
      <top style="hair">
        <color indexed="64"/>
      </top>
      <bottom style="medium">
        <color indexed="64"/>
      </bottom>
      <diagonal/>
    </border>
    <border>
      <left/>
      <right style="hair">
        <color indexed="64"/>
      </right>
      <top style="hair">
        <color indexed="64"/>
      </top>
      <bottom style="thin">
        <color indexed="64"/>
      </bottom>
      <diagonal/>
    </border>
    <border>
      <left/>
      <right style="medium">
        <color indexed="64"/>
      </right>
      <top style="medium">
        <color indexed="64"/>
      </top>
      <bottom style="dashDotDot">
        <color indexed="64"/>
      </bottom>
      <diagonal/>
    </border>
    <border>
      <left style="medium">
        <color indexed="64"/>
      </left>
      <right/>
      <top style="medium">
        <color indexed="64"/>
      </top>
      <bottom style="dashDotDot">
        <color indexed="64"/>
      </bottom>
      <diagonal/>
    </border>
    <border>
      <left style="medium">
        <color indexed="64"/>
      </left>
      <right/>
      <top style="dashDotDot">
        <color indexed="64"/>
      </top>
      <bottom style="hair">
        <color indexed="64"/>
      </bottom>
      <diagonal/>
    </border>
    <border>
      <left/>
      <right style="hair">
        <color indexed="64"/>
      </right>
      <top style="dashDotDot">
        <color indexed="64"/>
      </top>
      <bottom style="hair">
        <color indexed="64"/>
      </bottom>
      <diagonal/>
    </border>
    <border>
      <left style="medium">
        <color indexed="64"/>
      </left>
      <right/>
      <top style="hair">
        <color indexed="64"/>
      </top>
      <bottom style="hair">
        <color indexed="64"/>
      </bottom>
      <diagonal/>
    </border>
    <border>
      <left style="medium">
        <color indexed="64"/>
      </left>
      <right/>
      <top style="hair">
        <color indexed="64"/>
      </top>
      <bottom style="medium">
        <color indexed="64"/>
      </bottom>
      <diagonal/>
    </border>
    <border>
      <left style="medium">
        <color indexed="64"/>
      </left>
      <right style="hair">
        <color indexed="64"/>
      </right>
      <top style="medium">
        <color indexed="64"/>
      </top>
      <bottom style="dotted">
        <color indexed="64"/>
      </bottom>
      <diagonal/>
    </border>
    <border>
      <left style="dotted">
        <color indexed="64"/>
      </left>
      <right style="dotted">
        <color indexed="64"/>
      </right>
      <top style="dotted">
        <color indexed="64"/>
      </top>
      <bottom style="dotted">
        <color indexed="64"/>
      </bottom>
      <diagonal/>
    </border>
    <border>
      <left style="medium">
        <color indexed="64"/>
      </left>
      <right style="dotted">
        <color indexed="64"/>
      </right>
      <top style="medium">
        <color indexed="64"/>
      </top>
      <bottom style="dotted">
        <color indexed="64"/>
      </bottom>
      <diagonal/>
    </border>
    <border>
      <left style="dotted">
        <color indexed="64"/>
      </left>
      <right style="dotted">
        <color indexed="64"/>
      </right>
      <top style="medium">
        <color indexed="64"/>
      </top>
      <bottom style="dotted">
        <color indexed="64"/>
      </bottom>
      <diagonal/>
    </border>
    <border>
      <left style="dotted">
        <color indexed="64"/>
      </left>
      <right style="medium">
        <color indexed="64"/>
      </right>
      <top style="medium">
        <color indexed="64"/>
      </top>
      <bottom style="dotted">
        <color indexed="64"/>
      </bottom>
      <diagonal/>
    </border>
    <border>
      <left style="medium">
        <color indexed="64"/>
      </left>
      <right style="dotted">
        <color indexed="64"/>
      </right>
      <top style="dotted">
        <color indexed="64"/>
      </top>
      <bottom style="dotted">
        <color indexed="64"/>
      </bottom>
      <diagonal/>
    </border>
    <border>
      <left style="dotted">
        <color indexed="64"/>
      </left>
      <right style="medium">
        <color indexed="64"/>
      </right>
      <top style="dotted">
        <color indexed="64"/>
      </top>
      <bottom style="dotted">
        <color indexed="64"/>
      </bottom>
      <diagonal/>
    </border>
    <border>
      <left style="medium">
        <color indexed="64"/>
      </left>
      <right style="dotted">
        <color indexed="64"/>
      </right>
      <top style="dotted">
        <color indexed="64"/>
      </top>
      <bottom style="medium">
        <color indexed="64"/>
      </bottom>
      <diagonal/>
    </border>
    <border>
      <left style="dotted">
        <color indexed="64"/>
      </left>
      <right style="dotted">
        <color indexed="64"/>
      </right>
      <top style="dotted">
        <color indexed="64"/>
      </top>
      <bottom style="medium">
        <color indexed="64"/>
      </bottom>
      <diagonal/>
    </border>
    <border>
      <left style="dotted">
        <color indexed="64"/>
      </left>
      <right style="medium">
        <color indexed="64"/>
      </right>
      <top style="dotted">
        <color indexed="64"/>
      </top>
      <bottom style="medium">
        <color indexed="64"/>
      </bottom>
      <diagonal/>
    </border>
    <border>
      <left/>
      <right style="dashDotDot">
        <color indexed="64"/>
      </right>
      <top style="medium">
        <color indexed="64"/>
      </top>
      <bottom style="dashDotDot">
        <color indexed="64"/>
      </bottom>
      <diagonal/>
    </border>
    <border>
      <left style="medium">
        <color indexed="64"/>
      </left>
      <right style="dotted">
        <color indexed="64"/>
      </right>
      <top/>
      <bottom style="dotted">
        <color indexed="64"/>
      </bottom>
      <diagonal/>
    </border>
    <border>
      <left style="dotted">
        <color indexed="64"/>
      </left>
      <right style="dotted">
        <color indexed="64"/>
      </right>
      <top/>
      <bottom style="dotted">
        <color indexed="64"/>
      </bottom>
      <diagonal/>
    </border>
    <border>
      <left style="dotted">
        <color indexed="64"/>
      </left>
      <right style="medium">
        <color indexed="64"/>
      </right>
      <top/>
      <bottom style="dotted">
        <color indexed="64"/>
      </bottom>
      <diagonal/>
    </border>
    <border>
      <left style="medium">
        <color indexed="64"/>
      </left>
      <right style="dotted">
        <color indexed="64"/>
      </right>
      <top style="dotted">
        <color indexed="64"/>
      </top>
      <bottom/>
      <diagonal/>
    </border>
    <border>
      <left style="dotted">
        <color indexed="64"/>
      </left>
      <right style="dotted">
        <color indexed="64"/>
      </right>
      <top style="dotted">
        <color indexed="64"/>
      </top>
      <bottom/>
      <diagonal/>
    </border>
    <border>
      <left style="dotted">
        <color indexed="64"/>
      </left>
      <right style="medium">
        <color indexed="64"/>
      </right>
      <top style="dotted">
        <color indexed="64"/>
      </top>
      <bottom/>
      <diagonal/>
    </border>
    <border>
      <left style="thin">
        <color indexed="64"/>
      </left>
      <right style="thin">
        <color indexed="64"/>
      </right>
      <top style="thin">
        <color indexed="64"/>
      </top>
      <bottom style="thin">
        <color indexed="64"/>
      </bottom>
      <diagonal/>
    </border>
    <border>
      <left style="thin">
        <color indexed="64"/>
      </left>
      <right style="dotted">
        <color indexed="64"/>
      </right>
      <top style="dotted">
        <color indexed="64"/>
      </top>
      <bottom style="dotted">
        <color indexed="64"/>
      </bottom>
      <diagonal/>
    </border>
    <border>
      <left/>
      <right style="dotted">
        <color indexed="64"/>
      </right>
      <top style="dotted">
        <color indexed="64"/>
      </top>
      <bottom style="dotted">
        <color indexed="64"/>
      </bottom>
      <diagonal/>
    </border>
    <border>
      <left/>
      <right style="dotted">
        <color indexed="64"/>
      </right>
      <top style="medium">
        <color indexed="64"/>
      </top>
      <bottom style="dotted">
        <color indexed="64"/>
      </bottom>
      <diagonal/>
    </border>
    <border>
      <left/>
      <right style="dotted">
        <color indexed="64"/>
      </right>
      <top style="dotted">
        <color indexed="64"/>
      </top>
      <bottom style="medium">
        <color indexed="64"/>
      </bottom>
      <diagonal/>
    </border>
    <border>
      <left/>
      <right style="dotted">
        <color indexed="64"/>
      </right>
      <top style="dotted">
        <color indexed="64"/>
      </top>
      <bottom/>
      <diagonal/>
    </border>
    <border>
      <left/>
      <right style="dotted">
        <color indexed="64"/>
      </right>
      <top/>
      <bottom style="dotted">
        <color indexed="64"/>
      </bottom>
      <diagonal/>
    </border>
    <border>
      <left style="dotted">
        <color indexed="64"/>
      </left>
      <right style="dotted">
        <color indexed="64"/>
      </right>
      <top style="thin">
        <color indexed="64"/>
      </top>
      <bottom style="thin">
        <color indexed="64"/>
      </bottom>
      <diagonal/>
    </border>
    <border>
      <left/>
      <right style="dotted">
        <color indexed="64"/>
      </right>
      <top style="thin">
        <color indexed="64"/>
      </top>
      <bottom style="thin">
        <color indexed="64"/>
      </bottom>
      <diagonal/>
    </border>
    <border>
      <left style="medium">
        <color indexed="64"/>
      </left>
      <right style="dotted">
        <color indexed="64"/>
      </right>
      <top style="medium">
        <color indexed="64"/>
      </top>
      <bottom/>
      <diagonal/>
    </border>
    <border>
      <left style="dotted">
        <color indexed="64"/>
      </left>
      <right style="dotted">
        <color indexed="64"/>
      </right>
      <top style="medium">
        <color indexed="64"/>
      </top>
      <bottom/>
      <diagonal/>
    </border>
    <border>
      <left/>
      <right style="dotted">
        <color indexed="64"/>
      </right>
      <top style="medium">
        <color indexed="64"/>
      </top>
      <bottom/>
      <diagonal/>
    </border>
    <border>
      <left style="dotted">
        <color indexed="64"/>
      </left>
      <right style="medium">
        <color indexed="64"/>
      </right>
      <top style="medium">
        <color indexed="64"/>
      </top>
      <bottom/>
      <diagonal/>
    </border>
    <border>
      <left style="medium">
        <color indexed="64"/>
      </left>
      <right style="dotted">
        <color indexed="64"/>
      </right>
      <top style="thin">
        <color indexed="64"/>
      </top>
      <bottom style="thin">
        <color indexed="64"/>
      </bottom>
      <diagonal/>
    </border>
    <border>
      <left style="dotted">
        <color indexed="64"/>
      </left>
      <right style="medium">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dotted">
        <color indexed="64"/>
      </right>
      <top style="medium">
        <color indexed="64"/>
      </top>
      <bottom style="dotted">
        <color indexed="64"/>
      </bottom>
      <diagonal/>
    </border>
    <border>
      <left style="thin">
        <color indexed="64"/>
      </left>
      <right style="dotted">
        <color indexed="64"/>
      </right>
      <top style="dotted">
        <color indexed="64"/>
      </top>
      <bottom style="medium">
        <color indexed="64"/>
      </bottom>
      <diagonal/>
    </border>
    <border>
      <left/>
      <right style="medium">
        <color indexed="64"/>
      </right>
      <top/>
      <bottom/>
      <diagonal/>
    </border>
    <border>
      <left/>
      <right style="medium">
        <color indexed="64"/>
      </right>
      <top style="hair">
        <color indexed="64"/>
      </top>
      <bottom style="hair">
        <color indexed="64"/>
      </bottom>
      <diagonal/>
    </border>
    <border>
      <left/>
      <right/>
      <top style="medium">
        <color indexed="64"/>
      </top>
      <bottom style="dashDotDot">
        <color indexed="64"/>
      </bottom>
      <diagonal/>
    </border>
    <border>
      <left style="hair">
        <color indexed="64"/>
      </left>
      <right/>
      <top style="hair">
        <color indexed="64"/>
      </top>
      <bottom style="hair">
        <color indexed="64"/>
      </bottom>
      <diagonal/>
    </border>
    <border>
      <left style="hair">
        <color indexed="64"/>
      </left>
      <right/>
      <top style="hair">
        <color indexed="64"/>
      </top>
      <bottom style="medium">
        <color indexed="64"/>
      </bottom>
      <diagonal/>
    </border>
    <border>
      <left style="hair">
        <color indexed="64"/>
      </left>
      <right style="dashDotDot">
        <color indexed="64"/>
      </right>
      <top style="hair">
        <color indexed="64"/>
      </top>
      <bottom style="thin">
        <color indexed="64"/>
      </bottom>
      <diagonal/>
    </border>
    <border>
      <left style="hair">
        <color indexed="64"/>
      </left>
      <right style="dashDotDot">
        <color indexed="64"/>
      </right>
      <top/>
      <bottom/>
      <diagonal/>
    </border>
    <border>
      <left/>
      <right/>
      <top style="thin">
        <color indexed="64"/>
      </top>
      <bottom/>
      <diagonal/>
    </border>
    <border>
      <left style="medium">
        <color indexed="64"/>
      </left>
      <right style="hair">
        <color indexed="64"/>
      </right>
      <top style="medium">
        <color indexed="64"/>
      </top>
      <bottom/>
      <diagonal/>
    </border>
    <border>
      <left style="hair">
        <color indexed="64"/>
      </left>
      <right style="dashDotDot">
        <color indexed="64"/>
      </right>
      <top style="medium">
        <color indexed="64"/>
      </top>
      <bottom/>
      <diagonal/>
    </border>
    <border>
      <left/>
      <right style="hair">
        <color indexed="64"/>
      </right>
      <top style="medium">
        <color indexed="64"/>
      </top>
      <bottom/>
      <diagonal/>
    </border>
    <border>
      <left style="hair">
        <color indexed="64"/>
      </left>
      <right style="hair">
        <color indexed="64"/>
      </right>
      <top style="medium">
        <color indexed="64"/>
      </top>
      <bottom/>
      <diagonal/>
    </border>
    <border>
      <left style="hair">
        <color indexed="64"/>
      </left>
      <right style="medium">
        <color indexed="64"/>
      </right>
      <top style="medium">
        <color indexed="64"/>
      </top>
      <bottom/>
      <diagonal/>
    </border>
    <border>
      <left/>
      <right/>
      <top style="thin">
        <color indexed="64"/>
      </top>
      <bottom style="dashDotDot">
        <color indexed="64"/>
      </bottom>
      <diagonal/>
    </border>
    <border>
      <left style="medium">
        <color indexed="64"/>
      </left>
      <right/>
      <top style="thin">
        <color indexed="64"/>
      </top>
      <bottom style="dashDotDot">
        <color indexed="64"/>
      </bottom>
      <diagonal/>
    </border>
    <border>
      <left/>
      <right style="medium">
        <color indexed="64"/>
      </right>
      <top style="thin">
        <color indexed="64"/>
      </top>
      <bottom style="dashDotDot">
        <color indexed="64"/>
      </bottom>
      <diagonal/>
    </border>
    <border>
      <left style="medium">
        <color indexed="64"/>
      </left>
      <right style="hair">
        <color indexed="64"/>
      </right>
      <top style="hair">
        <color indexed="64"/>
      </top>
      <bottom/>
      <diagonal/>
    </border>
    <border>
      <left style="hair">
        <color indexed="64"/>
      </left>
      <right style="medium">
        <color indexed="64"/>
      </right>
      <top style="hair">
        <color indexed="64"/>
      </top>
      <bottom/>
      <diagonal/>
    </border>
    <border>
      <left style="medium">
        <color indexed="64"/>
      </left>
      <right/>
      <top style="thin">
        <color indexed="64"/>
      </top>
      <bottom/>
      <diagonal/>
    </border>
    <border>
      <left/>
      <right style="medium">
        <color indexed="64"/>
      </right>
      <top style="thin">
        <color indexed="64"/>
      </top>
      <bottom/>
      <diagonal/>
    </border>
    <border>
      <left style="hair">
        <color indexed="64"/>
      </left>
      <right/>
      <top style="dotted">
        <color indexed="64"/>
      </top>
      <bottom style="hair">
        <color indexed="64"/>
      </bottom>
      <diagonal/>
    </border>
    <border>
      <left/>
      <right style="medium">
        <color indexed="64"/>
      </right>
      <top style="dotted">
        <color indexed="64"/>
      </top>
      <bottom style="hair">
        <color indexed="64"/>
      </bottom>
      <diagonal/>
    </border>
    <border>
      <left/>
      <right style="medium">
        <color indexed="64"/>
      </right>
      <top style="hair">
        <color indexed="64"/>
      </top>
      <bottom style="medium">
        <color indexed="64"/>
      </bottom>
      <diagonal/>
    </border>
    <border>
      <left style="hair">
        <color indexed="64"/>
      </left>
      <right style="hair">
        <color indexed="64"/>
      </right>
      <top style="medium">
        <color indexed="64"/>
      </top>
      <bottom style="hair">
        <color indexed="64"/>
      </bottom>
      <diagonal/>
    </border>
    <border>
      <left style="hair">
        <color indexed="64"/>
      </left>
      <right style="medium">
        <color indexed="64"/>
      </right>
      <top style="medium">
        <color indexed="64"/>
      </top>
      <bottom style="hair">
        <color indexed="64"/>
      </bottom>
      <diagonal/>
    </border>
    <border>
      <left/>
      <right style="hair">
        <color indexed="64"/>
      </right>
      <top style="medium">
        <color indexed="64"/>
      </top>
      <bottom style="medium">
        <color indexed="64"/>
      </bottom>
      <diagonal/>
    </border>
    <border>
      <left style="hair">
        <color indexed="64"/>
      </left>
      <right style="hair">
        <color indexed="64"/>
      </right>
      <top style="medium">
        <color indexed="64"/>
      </top>
      <bottom style="medium">
        <color indexed="64"/>
      </bottom>
      <diagonal/>
    </border>
    <border>
      <left style="hair">
        <color indexed="64"/>
      </left>
      <right style="medium">
        <color indexed="64"/>
      </right>
      <top style="medium">
        <color indexed="64"/>
      </top>
      <bottom style="medium">
        <color indexed="64"/>
      </bottom>
      <diagonal/>
    </border>
    <border>
      <left style="dotted">
        <color indexed="64"/>
      </left>
      <right/>
      <top style="dotted">
        <color indexed="64"/>
      </top>
      <bottom style="dotted">
        <color indexed="64"/>
      </bottom>
      <diagonal/>
    </border>
    <border>
      <left/>
      <right style="medium">
        <color indexed="64"/>
      </right>
      <top style="dotted">
        <color indexed="64"/>
      </top>
      <bottom style="dotted">
        <color indexed="64"/>
      </bottom>
      <diagonal/>
    </border>
    <border>
      <left/>
      <right/>
      <top style="medium">
        <color indexed="64"/>
      </top>
      <bottom/>
      <diagonal/>
    </border>
    <border>
      <left style="medium">
        <color indexed="64"/>
      </left>
      <right style="medium">
        <color indexed="64"/>
      </right>
      <top style="medium">
        <color indexed="64"/>
      </top>
      <bottom style="hair">
        <color indexed="64"/>
      </bottom>
      <diagonal/>
    </border>
    <border>
      <left style="medium">
        <color indexed="64"/>
      </left>
      <right style="medium">
        <color indexed="64"/>
      </right>
      <top style="hair">
        <color indexed="64"/>
      </top>
      <bottom style="hair">
        <color indexed="64"/>
      </bottom>
      <diagonal/>
    </border>
    <border>
      <left style="medium">
        <color indexed="64"/>
      </left>
      <right style="medium">
        <color indexed="64"/>
      </right>
      <top style="hair">
        <color indexed="64"/>
      </top>
      <bottom style="medium">
        <color indexed="64"/>
      </bottom>
      <diagonal/>
    </border>
    <border>
      <left style="dashDotDot">
        <color indexed="64"/>
      </left>
      <right style="dashDotDot">
        <color indexed="64"/>
      </right>
      <top style="dashDotDot">
        <color indexed="64"/>
      </top>
      <bottom style="hair">
        <color indexed="64"/>
      </bottom>
      <diagonal/>
    </border>
    <border>
      <left style="dashDotDot">
        <color indexed="64"/>
      </left>
      <right style="hair">
        <color indexed="64"/>
      </right>
      <top style="hair">
        <color indexed="64"/>
      </top>
      <bottom style="hair">
        <color indexed="64"/>
      </bottom>
      <diagonal/>
    </border>
    <border>
      <left style="dashDotDot">
        <color indexed="64"/>
      </left>
      <right style="hair">
        <color indexed="64"/>
      </right>
      <top style="hair">
        <color indexed="64"/>
      </top>
      <bottom style="medium">
        <color indexed="64"/>
      </bottom>
      <diagonal/>
    </border>
    <border diagonalUp="1">
      <left style="dashDotDot">
        <color indexed="64"/>
      </left>
      <right style="hair">
        <color indexed="64"/>
      </right>
      <top style="hair">
        <color indexed="64"/>
      </top>
      <bottom style="hair">
        <color indexed="64"/>
      </bottom>
      <diagonal style="dashDotDot">
        <color indexed="64"/>
      </diagonal>
    </border>
    <border diagonalUp="1">
      <left style="hair">
        <color indexed="64"/>
      </left>
      <right style="hair">
        <color indexed="64"/>
      </right>
      <top style="hair">
        <color indexed="64"/>
      </top>
      <bottom style="hair">
        <color indexed="64"/>
      </bottom>
      <diagonal style="dashDotDot">
        <color indexed="64"/>
      </diagonal>
    </border>
    <border diagonalUp="1">
      <left style="hair">
        <color indexed="64"/>
      </left>
      <right style="medium">
        <color indexed="64"/>
      </right>
      <top style="hair">
        <color indexed="64"/>
      </top>
      <bottom style="hair">
        <color indexed="64"/>
      </bottom>
      <diagonal style="dashDotDot">
        <color indexed="64"/>
      </diagonal>
    </border>
    <border>
      <left style="hair">
        <color indexed="64"/>
      </left>
      <right style="dashDotDot">
        <color indexed="64"/>
      </right>
      <top style="dashDotDot">
        <color indexed="64"/>
      </top>
      <bottom style="hair">
        <color indexed="64"/>
      </bottom>
      <diagonal/>
    </border>
    <border>
      <left style="dashDotDot">
        <color indexed="64"/>
      </left>
      <right style="hair">
        <color indexed="64"/>
      </right>
      <top style="dashDotDot">
        <color indexed="64"/>
      </top>
      <bottom style="hair">
        <color indexed="64"/>
      </bottom>
      <diagonal/>
    </border>
    <border>
      <left style="dashDotDot">
        <color indexed="64"/>
      </left>
      <right style="dashDot">
        <color indexed="64"/>
      </right>
      <top style="hair">
        <color indexed="64"/>
      </top>
      <bottom style="hair">
        <color indexed="64"/>
      </bottom>
      <diagonal/>
    </border>
    <border>
      <left style="dashDotDot">
        <color indexed="64"/>
      </left>
      <right style="dashDot">
        <color indexed="64"/>
      </right>
      <top style="hair">
        <color indexed="64"/>
      </top>
      <bottom style="medium">
        <color indexed="64"/>
      </bottom>
      <diagonal/>
    </border>
    <border>
      <left/>
      <right style="medium">
        <color indexed="64"/>
      </right>
      <top style="medium">
        <color indexed="64"/>
      </top>
      <bottom/>
      <diagonal/>
    </border>
    <border>
      <left/>
      <right/>
      <top/>
      <bottom style="thin">
        <color indexed="64"/>
      </bottom>
      <diagonal/>
    </border>
    <border>
      <left style="dashDotDot">
        <color indexed="64"/>
      </left>
      <right style="hair">
        <color indexed="64"/>
      </right>
      <top style="hair">
        <color indexed="64"/>
      </top>
      <bottom style="thin">
        <color indexed="64"/>
      </bottom>
      <diagonal/>
    </border>
    <border>
      <left style="medium">
        <color indexed="64"/>
      </left>
      <right style="medium">
        <color indexed="64"/>
      </right>
      <top/>
      <bottom style="dashed">
        <color indexed="64"/>
      </bottom>
      <diagonal/>
    </border>
    <border>
      <left style="medium">
        <color indexed="64"/>
      </left>
      <right style="medium">
        <color indexed="64"/>
      </right>
      <top style="dashed">
        <color indexed="64"/>
      </top>
      <bottom style="dashed">
        <color indexed="64"/>
      </bottom>
      <diagonal/>
    </border>
    <border>
      <left style="medium">
        <color indexed="64"/>
      </left>
      <right style="medium">
        <color indexed="64"/>
      </right>
      <top style="dashed">
        <color indexed="64"/>
      </top>
      <bottom style="medium">
        <color indexed="64"/>
      </bottom>
      <diagonal/>
    </border>
    <border>
      <left style="medium">
        <color indexed="64"/>
      </left>
      <right style="medium">
        <color indexed="64"/>
      </right>
      <top style="medium">
        <color indexed="64"/>
      </top>
      <bottom style="dashDotDot">
        <color indexed="64"/>
      </bottom>
      <diagonal/>
    </border>
    <border>
      <left style="medium">
        <color indexed="64"/>
      </left>
      <right/>
      <top style="medium">
        <color indexed="64"/>
      </top>
      <bottom/>
      <diagonal/>
    </border>
    <border>
      <left style="medium">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dashDotDot">
        <color indexed="64"/>
      </left>
      <right style="hair">
        <color indexed="64"/>
      </right>
      <top/>
      <bottom style="medium">
        <color indexed="64"/>
      </bottom>
      <diagonal/>
    </border>
    <border>
      <left style="hair">
        <color indexed="64"/>
      </left>
      <right style="medium">
        <color indexed="64"/>
      </right>
      <top/>
      <bottom style="medium">
        <color indexed="64"/>
      </bottom>
      <diagonal/>
    </border>
    <border>
      <left/>
      <right/>
      <top/>
      <bottom style="hair">
        <color indexed="64"/>
      </bottom>
      <diagonal/>
    </border>
    <border diagonalUp="1">
      <left/>
      <right/>
      <top/>
      <bottom/>
      <diagonal style="dotted">
        <color indexed="64"/>
      </diagonal>
    </border>
    <border>
      <left style="medium">
        <color indexed="64"/>
      </left>
      <right/>
      <top style="medium">
        <color indexed="64"/>
      </top>
      <bottom style="hair">
        <color indexed="64"/>
      </bottom>
      <diagonal/>
    </border>
    <border>
      <left style="medium">
        <color indexed="64"/>
      </left>
      <right/>
      <top style="hair">
        <color indexed="64"/>
      </top>
      <bottom style="thin">
        <color indexed="64"/>
      </bottom>
      <diagonal/>
    </border>
    <border>
      <left style="medium">
        <color indexed="64"/>
      </left>
      <right/>
      <top/>
      <bottom style="hair">
        <color indexed="64"/>
      </bottom>
      <diagonal/>
    </border>
    <border>
      <left/>
      <right style="hair">
        <color indexed="64"/>
      </right>
      <top style="medium">
        <color indexed="64"/>
      </top>
      <bottom style="hair">
        <color indexed="64"/>
      </bottom>
      <diagonal/>
    </border>
    <border diagonalUp="1">
      <left style="thin">
        <color indexed="64"/>
      </left>
      <right/>
      <top/>
      <bottom/>
      <diagonal style="dotted">
        <color indexed="64"/>
      </diagonal>
    </border>
    <border diagonalUp="1">
      <left/>
      <right style="thin">
        <color indexed="64"/>
      </right>
      <top/>
      <bottom/>
      <diagonal style="dotted">
        <color indexed="64"/>
      </diagonal>
    </border>
    <border diagonalUp="1">
      <left style="thin">
        <color indexed="64"/>
      </left>
      <right/>
      <top style="medium">
        <color indexed="64"/>
      </top>
      <bottom/>
      <diagonal style="dotted">
        <color indexed="64"/>
      </diagonal>
    </border>
    <border diagonalUp="1">
      <left/>
      <right/>
      <top style="medium">
        <color indexed="64"/>
      </top>
      <bottom/>
      <diagonal style="dotted">
        <color indexed="64"/>
      </diagonal>
    </border>
    <border diagonalUp="1">
      <left/>
      <right style="thin">
        <color indexed="64"/>
      </right>
      <top style="medium">
        <color indexed="64"/>
      </top>
      <bottom/>
      <diagonal style="dotted">
        <color indexed="64"/>
      </diagonal>
    </border>
    <border diagonalUp="1">
      <left style="thin">
        <color indexed="64"/>
      </left>
      <right/>
      <top/>
      <bottom style="medium">
        <color indexed="64"/>
      </bottom>
      <diagonal style="dotted">
        <color indexed="64"/>
      </diagonal>
    </border>
    <border diagonalUp="1">
      <left/>
      <right/>
      <top/>
      <bottom style="medium">
        <color indexed="64"/>
      </bottom>
      <diagonal style="dotted">
        <color indexed="64"/>
      </diagonal>
    </border>
    <border diagonalUp="1">
      <left/>
      <right style="thin">
        <color indexed="64"/>
      </right>
      <top/>
      <bottom style="medium">
        <color indexed="64"/>
      </bottom>
      <diagonal style="dotted">
        <color indexed="64"/>
      </diagonal>
    </border>
    <border>
      <left style="medium">
        <color indexed="64"/>
      </left>
      <right style="hair">
        <color indexed="64"/>
      </right>
      <top style="medium">
        <color indexed="64"/>
      </top>
      <bottom style="hair">
        <color indexed="64"/>
      </bottom>
      <diagonal/>
    </border>
    <border>
      <left style="medium">
        <color indexed="64"/>
      </left>
      <right/>
      <top style="dotted">
        <color indexed="64"/>
      </top>
      <bottom style="dotted">
        <color indexed="64"/>
      </bottom>
      <diagonal/>
    </border>
    <border>
      <left style="medium">
        <color indexed="64"/>
      </left>
      <right/>
      <top style="dotted">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dashDotDot">
        <color indexed="64"/>
      </bottom>
      <diagonal/>
    </border>
    <border>
      <left style="medium">
        <color indexed="64"/>
      </left>
      <right style="medium">
        <color indexed="64"/>
      </right>
      <top/>
      <bottom style="medium">
        <color indexed="64"/>
      </bottom>
      <diagonal/>
    </border>
    <border>
      <left style="medium">
        <color indexed="64"/>
      </left>
      <right style="medium">
        <color indexed="64"/>
      </right>
      <top/>
      <bottom/>
      <diagonal/>
    </border>
    <border>
      <left/>
      <right style="dashDotDot">
        <color indexed="64"/>
      </right>
      <top style="hair">
        <color indexed="64"/>
      </top>
      <bottom style="hair">
        <color indexed="64"/>
      </bottom>
      <diagonal/>
    </border>
    <border>
      <left style="medium">
        <color indexed="64"/>
      </left>
      <right/>
      <top/>
      <bottom style="medium">
        <color indexed="64"/>
      </bottom>
      <diagonal/>
    </border>
    <border>
      <left/>
      <right style="medium">
        <color indexed="64"/>
      </right>
      <top/>
      <bottom style="medium">
        <color indexed="64"/>
      </bottom>
      <diagonal/>
    </border>
    <border>
      <left style="dashDotDot">
        <color indexed="64"/>
      </left>
      <right style="dashDotDot">
        <color indexed="64"/>
      </right>
      <top style="medium">
        <color indexed="64"/>
      </top>
      <bottom/>
      <diagonal/>
    </border>
    <border>
      <left style="dashDotDot">
        <color indexed="64"/>
      </left>
      <right style="dashDotDot">
        <color indexed="64"/>
      </right>
      <top/>
      <bottom style="hair">
        <color indexed="64"/>
      </bottom>
      <diagonal/>
    </border>
    <border>
      <left style="medium">
        <color indexed="64"/>
      </left>
      <right/>
      <top style="hair">
        <color indexed="64"/>
      </top>
      <bottom/>
      <diagonal/>
    </border>
    <border>
      <left/>
      <right/>
      <top style="hair">
        <color indexed="64"/>
      </top>
      <bottom/>
      <diagonal/>
    </border>
    <border>
      <left/>
      <right style="medium">
        <color indexed="64"/>
      </right>
      <top style="hair">
        <color indexed="64"/>
      </top>
      <bottom/>
      <diagonal/>
    </border>
    <border>
      <left style="medium">
        <color indexed="64"/>
      </left>
      <right style="medium">
        <color indexed="64"/>
      </right>
      <top/>
      <bottom style="hair">
        <color indexed="64"/>
      </bottom>
      <diagonal/>
    </border>
    <border>
      <left style="medium">
        <color indexed="64"/>
      </left>
      <right style="medium">
        <color indexed="64"/>
      </right>
      <top style="hair">
        <color indexed="64"/>
      </top>
      <bottom style="dashDotDot">
        <color indexed="64"/>
      </bottom>
      <diagonal/>
    </border>
    <border>
      <left style="medium">
        <color indexed="64"/>
      </left>
      <right/>
      <top style="medium">
        <color indexed="64"/>
      </top>
      <bottom style="dashDot">
        <color indexed="64"/>
      </bottom>
      <diagonal/>
    </border>
    <border>
      <left/>
      <right/>
      <top style="medium">
        <color indexed="64"/>
      </top>
      <bottom style="dashDot">
        <color indexed="64"/>
      </bottom>
      <diagonal/>
    </border>
    <border>
      <left/>
      <right style="medium">
        <color indexed="64"/>
      </right>
      <top style="medium">
        <color indexed="64"/>
      </top>
      <bottom style="dashDot">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hair">
        <color indexed="64"/>
      </left>
      <right style="hair">
        <color indexed="64"/>
      </right>
      <top style="hair">
        <color indexed="64"/>
      </top>
      <bottom/>
      <diagonal/>
    </border>
    <border>
      <left style="medium">
        <color indexed="64"/>
      </left>
      <right style="medium">
        <color indexed="64"/>
      </right>
      <top style="dashed">
        <color indexed="64"/>
      </top>
      <bottom/>
      <diagonal/>
    </border>
    <border>
      <left/>
      <right style="thin">
        <color indexed="64"/>
      </right>
      <top/>
      <bottom/>
      <diagonal/>
    </border>
    <border>
      <left/>
      <right style="thin">
        <color indexed="64"/>
      </right>
      <top style="thin">
        <color indexed="64"/>
      </top>
      <bottom style="thin">
        <color indexed="64"/>
      </bottom>
      <diagonal/>
    </border>
    <border>
      <left/>
      <right style="medium">
        <color indexed="64"/>
      </right>
      <top/>
      <bottom style="hair">
        <color indexed="64"/>
      </bottom>
      <diagonal/>
    </border>
    <border>
      <left/>
      <right/>
      <top style="medium">
        <color indexed="64"/>
      </top>
      <bottom style="hair">
        <color indexed="64"/>
      </bottom>
      <diagonal/>
    </border>
    <border>
      <left/>
      <right style="medium">
        <color indexed="64"/>
      </right>
      <top style="medium">
        <color indexed="64"/>
      </top>
      <bottom style="hair">
        <color indexed="64"/>
      </bottom>
      <diagonal/>
    </border>
    <border>
      <left style="thin">
        <color indexed="64"/>
      </left>
      <right style="thin">
        <color indexed="64"/>
      </right>
      <top/>
      <bottom style="thin">
        <color indexed="64"/>
      </bottom>
      <diagonal/>
    </border>
  </borders>
  <cellStyleXfs count="2">
    <xf numFmtId="0" fontId="0" fillId="0" borderId="0"/>
    <xf numFmtId="9" fontId="4" fillId="0" borderId="0" applyFont="0" applyFill="0" applyBorder="0" applyAlignment="0" applyProtection="0"/>
  </cellStyleXfs>
  <cellXfs count="713">
    <xf numFmtId="0" fontId="0" fillId="0" borderId="0" xfId="0"/>
    <xf numFmtId="0" fontId="7" fillId="4" borderId="0" xfId="0" applyFont="1" applyFill="1"/>
    <xf numFmtId="0" fontId="1" fillId="7" borderId="0" xfId="0" applyFont="1" applyFill="1"/>
    <xf numFmtId="0" fontId="7" fillId="7" borderId="0" xfId="0" applyFont="1" applyFill="1"/>
    <xf numFmtId="0" fontId="8" fillId="8" borderId="52" xfId="0" applyFont="1" applyFill="1" applyBorder="1" applyAlignment="1">
      <alignment horizontal="center"/>
    </xf>
    <xf numFmtId="0" fontId="8" fillId="8" borderId="53" xfId="0" applyFont="1" applyFill="1" applyBorder="1" applyAlignment="1">
      <alignment horizontal="center"/>
    </xf>
    <xf numFmtId="0" fontId="8" fillId="8" borderId="51" xfId="0" applyFont="1" applyFill="1" applyBorder="1" applyAlignment="1">
      <alignment horizontal="center"/>
    </xf>
    <xf numFmtId="0" fontId="1" fillId="12" borderId="2" xfId="0" applyFont="1" applyFill="1" applyBorder="1"/>
    <xf numFmtId="0" fontId="7" fillId="12" borderId="2" xfId="0" applyFont="1" applyFill="1" applyBorder="1"/>
    <xf numFmtId="0" fontId="7" fillId="12" borderId="4" xfId="0" applyFont="1" applyFill="1" applyBorder="1"/>
    <xf numFmtId="0" fontId="2" fillId="12" borderId="6" xfId="0" applyFont="1" applyFill="1" applyBorder="1" applyAlignment="1">
      <alignment horizontal="center"/>
    </xf>
    <xf numFmtId="0" fontId="2" fillId="12" borderId="7" xfId="0" applyFont="1" applyFill="1" applyBorder="1" applyAlignment="1">
      <alignment horizontal="center"/>
    </xf>
    <xf numFmtId="0" fontId="2" fillId="12" borderId="8" xfId="0" applyFont="1" applyFill="1" applyBorder="1" applyAlignment="1">
      <alignment horizontal="center"/>
    </xf>
    <xf numFmtId="0" fontId="1" fillId="12" borderId="4" xfId="0" applyFont="1" applyFill="1" applyBorder="1"/>
    <xf numFmtId="0" fontId="7" fillId="4" borderId="81" xfId="0" applyFont="1" applyFill="1" applyBorder="1"/>
    <xf numFmtId="0" fontId="7" fillId="4" borderId="82" xfId="0" applyFont="1" applyFill="1" applyBorder="1"/>
    <xf numFmtId="0" fontId="7" fillId="4" borderId="83" xfId="0" applyFont="1" applyFill="1" applyBorder="1"/>
    <xf numFmtId="0" fontId="7" fillId="4" borderId="84" xfId="0" applyFont="1" applyFill="1" applyBorder="1"/>
    <xf numFmtId="0" fontId="7" fillId="4" borderId="67" xfId="0" applyFont="1" applyFill="1" applyBorder="1"/>
    <xf numFmtId="0" fontId="7" fillId="4" borderId="85" xfId="0" applyFont="1" applyFill="1" applyBorder="1"/>
    <xf numFmtId="1" fontId="3" fillId="12" borderId="1" xfId="0" applyNumberFormat="1" applyFont="1" applyFill="1" applyBorder="1"/>
    <xf numFmtId="1" fontId="1" fillId="12" borderId="1" xfId="0" applyNumberFormat="1" applyFont="1" applyFill="1" applyBorder="1"/>
    <xf numFmtId="1" fontId="3" fillId="12" borderId="11" xfId="0" applyNumberFormat="1" applyFont="1" applyFill="1" applyBorder="1"/>
    <xf numFmtId="3" fontId="7" fillId="4" borderId="61" xfId="0" applyNumberFormat="1" applyFont="1" applyFill="1" applyBorder="1"/>
    <xf numFmtId="3" fontId="7" fillId="4" borderId="62" xfId="0" applyNumberFormat="1" applyFont="1" applyFill="1" applyBorder="1"/>
    <xf numFmtId="3" fontId="7" fillId="4" borderId="50" xfId="0" applyNumberFormat="1" applyFont="1" applyFill="1" applyBorder="1"/>
    <xf numFmtId="3" fontId="7" fillId="4" borderId="55" xfId="0" applyNumberFormat="1" applyFont="1" applyFill="1" applyBorder="1"/>
    <xf numFmtId="3" fontId="7" fillId="4" borderId="57" xfId="0" applyNumberFormat="1" applyFont="1" applyFill="1" applyBorder="1"/>
    <xf numFmtId="3" fontId="7" fillId="4" borderId="58" xfId="0" applyNumberFormat="1" applyFont="1" applyFill="1" applyBorder="1"/>
    <xf numFmtId="0" fontId="2" fillId="7" borderId="0" xfId="0" applyFont="1" applyFill="1"/>
    <xf numFmtId="0" fontId="1" fillId="4" borderId="0" xfId="0" applyFont="1" applyFill="1" applyProtection="1">
      <protection hidden="1"/>
    </xf>
    <xf numFmtId="0" fontId="14" fillId="4" borderId="0" xfId="0" applyFont="1" applyFill="1" applyProtection="1">
      <protection hidden="1"/>
    </xf>
    <xf numFmtId="0" fontId="7" fillId="11" borderId="54" xfId="0" applyFont="1" applyFill="1" applyBorder="1" applyProtection="1">
      <protection hidden="1"/>
    </xf>
    <xf numFmtId="0" fontId="5" fillId="4" borderId="0" xfId="0" applyFont="1" applyFill="1" applyProtection="1">
      <protection hidden="1"/>
    </xf>
    <xf numFmtId="0" fontId="15" fillId="4" borderId="0" xfId="0" applyFont="1" applyFill="1" applyProtection="1">
      <protection hidden="1"/>
    </xf>
    <xf numFmtId="0" fontId="2" fillId="4" borderId="0" xfId="0" applyFont="1" applyFill="1" applyProtection="1">
      <protection hidden="1"/>
    </xf>
    <xf numFmtId="0" fontId="7" fillId="11" borderId="56" xfId="0" applyFont="1" applyFill="1" applyBorder="1" applyProtection="1">
      <protection hidden="1"/>
    </xf>
    <xf numFmtId="0" fontId="1" fillId="7" borderId="0" xfId="0" applyFont="1" applyFill="1" applyProtection="1">
      <protection hidden="1"/>
    </xf>
    <xf numFmtId="0" fontId="1" fillId="7" borderId="18" xfId="0" applyFont="1" applyFill="1" applyBorder="1" applyProtection="1">
      <protection hidden="1"/>
    </xf>
    <xf numFmtId="0" fontId="1" fillId="5" borderId="0" xfId="0" applyFont="1" applyFill="1" applyProtection="1">
      <protection hidden="1"/>
    </xf>
    <xf numFmtId="49" fontId="1" fillId="5" borderId="0" xfId="0" applyNumberFormat="1" applyFont="1" applyFill="1" applyProtection="1">
      <protection hidden="1"/>
    </xf>
    <xf numFmtId="3" fontId="1" fillId="5" borderId="0" xfId="0" applyNumberFormat="1" applyFont="1" applyFill="1" applyProtection="1">
      <protection hidden="1"/>
    </xf>
    <xf numFmtId="0" fontId="10" fillId="5" borderId="0" xfId="0" applyFont="1" applyFill="1" applyAlignment="1" applyProtection="1">
      <alignment horizontal="center" wrapText="1"/>
      <protection hidden="1"/>
    </xf>
    <xf numFmtId="0" fontId="2" fillId="9" borderId="23" xfId="0" applyFont="1" applyFill="1" applyBorder="1" applyAlignment="1" applyProtection="1">
      <alignment horizontal="center"/>
      <protection hidden="1"/>
    </xf>
    <xf numFmtId="0" fontId="2" fillId="9" borderId="39" xfId="0" applyFont="1" applyFill="1" applyBorder="1" applyAlignment="1" applyProtection="1">
      <alignment horizontal="center"/>
      <protection hidden="1"/>
    </xf>
    <xf numFmtId="3" fontId="17" fillId="12" borderId="35" xfId="0" applyNumberFormat="1" applyFont="1" applyFill="1" applyBorder="1" applyProtection="1">
      <protection hidden="1"/>
    </xf>
    <xf numFmtId="3" fontId="17" fillId="12" borderId="22" xfId="0" applyNumberFormat="1" applyFont="1" applyFill="1" applyBorder="1" applyProtection="1">
      <protection hidden="1"/>
    </xf>
    <xf numFmtId="3" fontId="9" fillId="12" borderId="24" xfId="0" applyNumberFormat="1" applyFont="1" applyFill="1" applyBorder="1" applyProtection="1">
      <protection hidden="1"/>
    </xf>
    <xf numFmtId="9" fontId="1" fillId="5" borderId="0" xfId="1" applyFont="1" applyFill="1" applyProtection="1">
      <protection hidden="1"/>
    </xf>
    <xf numFmtId="3" fontId="13" fillId="12" borderId="36" xfId="0" applyNumberFormat="1" applyFont="1" applyFill="1" applyBorder="1" applyProtection="1">
      <protection hidden="1"/>
    </xf>
    <xf numFmtId="3" fontId="13" fillId="12" borderId="1" xfId="0" applyNumberFormat="1" applyFont="1" applyFill="1" applyBorder="1" applyProtection="1">
      <protection hidden="1"/>
    </xf>
    <xf numFmtId="3" fontId="1" fillId="12" borderId="11" xfId="0" applyNumberFormat="1" applyFont="1" applyFill="1" applyBorder="1" applyProtection="1">
      <protection hidden="1"/>
    </xf>
    <xf numFmtId="3" fontId="1" fillId="12" borderId="87" xfId="0" applyNumberFormat="1" applyFont="1" applyFill="1" applyBorder="1" applyProtection="1">
      <protection hidden="1"/>
    </xf>
    <xf numFmtId="0" fontId="1" fillId="5" borderId="29" xfId="0" applyFont="1" applyFill="1" applyBorder="1" applyProtection="1">
      <protection hidden="1"/>
    </xf>
    <xf numFmtId="0" fontId="2" fillId="10" borderId="23" xfId="0" applyFont="1" applyFill="1" applyBorder="1" applyAlignment="1" applyProtection="1">
      <alignment horizontal="center"/>
      <protection hidden="1"/>
    </xf>
    <xf numFmtId="0" fontId="2" fillId="10" borderId="35" xfId="0" applyFont="1" applyFill="1" applyBorder="1" applyAlignment="1" applyProtection="1">
      <alignment horizontal="center"/>
      <protection hidden="1"/>
    </xf>
    <xf numFmtId="3" fontId="1" fillId="12" borderId="36" xfId="0" applyNumberFormat="1" applyFont="1" applyFill="1" applyBorder="1" applyProtection="1">
      <protection hidden="1"/>
    </xf>
    <xf numFmtId="3" fontId="1" fillId="12" borderId="1" xfId="0" applyNumberFormat="1" applyFont="1" applyFill="1" applyBorder="1" applyProtection="1">
      <protection hidden="1"/>
    </xf>
    <xf numFmtId="3" fontId="1" fillId="12" borderId="23" xfId="0" applyNumberFormat="1" applyFont="1" applyFill="1" applyBorder="1" applyProtection="1">
      <protection hidden="1"/>
    </xf>
    <xf numFmtId="3" fontId="1" fillId="12" borderId="22" xfId="0" applyNumberFormat="1" applyFont="1" applyFill="1" applyBorder="1" applyProtection="1">
      <protection hidden="1"/>
    </xf>
    <xf numFmtId="3" fontId="1" fillId="12" borderId="24" xfId="0" applyNumberFormat="1" applyFont="1" applyFill="1" applyBorder="1" applyProtection="1">
      <protection hidden="1"/>
    </xf>
    <xf numFmtId="3" fontId="1" fillId="12" borderId="10" xfId="0" applyNumberFormat="1" applyFont="1" applyFill="1" applyBorder="1" applyProtection="1">
      <protection hidden="1"/>
    </xf>
    <xf numFmtId="3" fontId="17" fillId="2" borderId="35" xfId="0" applyNumberFormat="1" applyFont="1" applyFill="1" applyBorder="1" applyProtection="1">
      <protection locked="0"/>
    </xf>
    <xf numFmtId="3" fontId="17" fillId="2" borderId="22" xfId="0" applyNumberFormat="1" applyFont="1" applyFill="1" applyBorder="1" applyProtection="1">
      <protection locked="0"/>
    </xf>
    <xf numFmtId="3" fontId="13" fillId="2" borderId="36" xfId="0" applyNumberFormat="1" applyFont="1" applyFill="1" applyBorder="1" applyProtection="1">
      <protection locked="0"/>
    </xf>
    <xf numFmtId="3" fontId="13" fillId="2" borderId="1" xfId="0" applyNumberFormat="1" applyFont="1" applyFill="1" applyBorder="1" applyProtection="1">
      <protection locked="0"/>
    </xf>
    <xf numFmtId="0" fontId="7" fillId="4" borderId="0" xfId="0" applyFont="1" applyFill="1" applyProtection="1">
      <protection hidden="1"/>
    </xf>
    <xf numFmtId="0" fontId="2" fillId="5" borderId="0" xfId="0" applyFont="1" applyFill="1" applyProtection="1">
      <protection hidden="1"/>
    </xf>
    <xf numFmtId="3" fontId="9" fillId="12" borderId="36" xfId="0" applyNumberFormat="1" applyFont="1" applyFill="1" applyBorder="1" applyProtection="1">
      <protection hidden="1"/>
    </xf>
    <xf numFmtId="3" fontId="9" fillId="12" borderId="1" xfId="0" applyNumberFormat="1" applyFont="1" applyFill="1" applyBorder="1" applyProtection="1">
      <protection hidden="1"/>
    </xf>
    <xf numFmtId="3" fontId="9" fillId="12" borderId="11" xfId="0" applyNumberFormat="1" applyFont="1" applyFill="1" applyBorder="1" applyProtection="1">
      <protection hidden="1"/>
    </xf>
    <xf numFmtId="0" fontId="9" fillId="10" borderId="10" xfId="0" applyFont="1" applyFill="1" applyBorder="1" applyAlignment="1" applyProtection="1">
      <alignment horizontal="right"/>
      <protection hidden="1"/>
    </xf>
    <xf numFmtId="3" fontId="2" fillId="12" borderId="112" xfId="0" applyNumberFormat="1" applyFont="1" applyFill="1" applyBorder="1" applyProtection="1">
      <protection hidden="1"/>
    </xf>
    <xf numFmtId="3" fontId="2" fillId="12" borderId="111" xfId="0" applyNumberFormat="1" applyFont="1" applyFill="1" applyBorder="1" applyProtection="1">
      <protection hidden="1"/>
    </xf>
    <xf numFmtId="3" fontId="2" fillId="12" borderId="113" xfId="0" applyNumberFormat="1" applyFont="1" applyFill="1" applyBorder="1" applyProtection="1">
      <protection hidden="1"/>
    </xf>
    <xf numFmtId="0" fontId="11" fillId="5" borderId="0" xfId="0" applyFont="1" applyFill="1" applyProtection="1">
      <protection hidden="1"/>
    </xf>
    <xf numFmtId="3" fontId="17" fillId="2" borderId="1" xfId="0" applyNumberFormat="1" applyFont="1" applyFill="1" applyBorder="1" applyProtection="1">
      <protection locked="0"/>
    </xf>
    <xf numFmtId="3" fontId="17" fillId="2" borderId="40" xfId="0" applyNumberFormat="1" applyFont="1" applyFill="1" applyBorder="1" applyProtection="1">
      <protection locked="0"/>
    </xf>
    <xf numFmtId="3" fontId="13" fillId="2" borderId="40" xfId="0" applyNumberFormat="1" applyFont="1" applyFill="1" applyBorder="1" applyProtection="1">
      <protection locked="0"/>
    </xf>
    <xf numFmtId="3" fontId="12" fillId="5" borderId="0" xfId="0" applyNumberFormat="1" applyFont="1" applyFill="1" applyAlignment="1" applyProtection="1">
      <alignment horizontal="center"/>
      <protection hidden="1"/>
    </xf>
    <xf numFmtId="3" fontId="9" fillId="12" borderId="120" xfId="0" applyNumberFormat="1" applyFont="1" applyFill="1" applyBorder="1" applyProtection="1">
      <protection hidden="1"/>
    </xf>
    <xf numFmtId="3" fontId="1" fillId="12" borderId="121" xfId="0" applyNumberFormat="1" applyFont="1" applyFill="1" applyBorder="1" applyProtection="1">
      <protection hidden="1"/>
    </xf>
    <xf numFmtId="3" fontId="1" fillId="12" borderId="123" xfId="0" applyNumberFormat="1" applyFont="1" applyFill="1" applyBorder="1" applyProtection="1">
      <protection hidden="1"/>
    </xf>
    <xf numFmtId="3" fontId="1" fillId="12" borderId="124" xfId="0" applyNumberFormat="1" applyFont="1" applyFill="1" applyBorder="1" applyProtection="1">
      <protection hidden="1"/>
    </xf>
    <xf numFmtId="3" fontId="1" fillId="12" borderId="125" xfId="0" applyNumberFormat="1" applyFont="1" applyFill="1" applyBorder="1" applyProtection="1">
      <protection hidden="1"/>
    </xf>
    <xf numFmtId="3" fontId="21" fillId="12" borderId="1" xfId="0" applyNumberFormat="1" applyFont="1" applyFill="1" applyBorder="1" applyProtection="1">
      <protection hidden="1"/>
    </xf>
    <xf numFmtId="0" fontId="22" fillId="4" borderId="0" xfId="0" applyFont="1" applyFill="1" applyProtection="1">
      <protection hidden="1"/>
    </xf>
    <xf numFmtId="0" fontId="6" fillId="4" borderId="0" xfId="0" applyFont="1" applyFill="1" applyAlignment="1" applyProtection="1">
      <alignment vertical="center" wrapText="1"/>
      <protection hidden="1"/>
    </xf>
    <xf numFmtId="0" fontId="1" fillId="5" borderId="18" xfId="0" applyFont="1" applyFill="1" applyBorder="1" applyProtection="1">
      <protection hidden="1"/>
    </xf>
    <xf numFmtId="0" fontId="1" fillId="5" borderId="131" xfId="0" applyFont="1" applyFill="1" applyBorder="1" applyProtection="1">
      <protection hidden="1"/>
    </xf>
    <xf numFmtId="0" fontId="20" fillId="4" borderId="0" xfId="0" applyFont="1" applyFill="1" applyProtection="1">
      <protection hidden="1"/>
    </xf>
    <xf numFmtId="164" fontId="13" fillId="12" borderId="133" xfId="1" applyNumberFormat="1" applyFont="1" applyFill="1" applyBorder="1" applyProtection="1">
      <protection hidden="1"/>
    </xf>
    <xf numFmtId="0" fontId="25" fillId="9" borderId="10" xfId="0" applyFont="1" applyFill="1" applyBorder="1" applyAlignment="1" applyProtection="1">
      <alignment horizontal="right"/>
      <protection hidden="1"/>
    </xf>
    <xf numFmtId="0" fontId="7" fillId="0" borderId="0" xfId="0" applyFont="1"/>
    <xf numFmtId="0" fontId="7" fillId="0" borderId="0" xfId="0" applyFont="1" applyAlignment="1">
      <alignment shrinkToFit="1"/>
    </xf>
    <xf numFmtId="0" fontId="7" fillId="0" borderId="0" xfId="0" applyFont="1" applyAlignment="1">
      <alignment horizontal="justify" vertical="top" readingOrder="2"/>
    </xf>
    <xf numFmtId="0" fontId="22" fillId="0" borderId="0" xfId="0" applyFont="1" applyAlignment="1">
      <alignment horizontal="left" vertical="top" wrapText="1" shrinkToFit="1"/>
    </xf>
    <xf numFmtId="0" fontId="26" fillId="4" borderId="0" xfId="0" applyFont="1" applyFill="1" applyProtection="1">
      <protection hidden="1"/>
    </xf>
    <xf numFmtId="164" fontId="13" fillId="2" borderId="1" xfId="0" applyNumberFormat="1" applyFont="1" applyFill="1" applyBorder="1" applyProtection="1">
      <protection locked="0"/>
    </xf>
    <xf numFmtId="164" fontId="13" fillId="2" borderId="89" xfId="0" applyNumberFormat="1" applyFont="1" applyFill="1" applyBorder="1" applyProtection="1">
      <protection locked="0"/>
    </xf>
    <xf numFmtId="164" fontId="13" fillId="2" borderId="11" xfId="0" applyNumberFormat="1" applyFont="1" applyFill="1" applyBorder="1" applyProtection="1">
      <protection locked="0"/>
    </xf>
    <xf numFmtId="164" fontId="13" fillId="2" borderId="16" xfId="0" applyNumberFormat="1" applyFont="1" applyFill="1" applyBorder="1" applyProtection="1">
      <protection locked="0"/>
    </xf>
    <xf numFmtId="164" fontId="13" fillId="2" borderId="90" xfId="0" applyNumberFormat="1" applyFont="1" applyFill="1" applyBorder="1" applyProtection="1">
      <protection locked="0"/>
    </xf>
    <xf numFmtId="164" fontId="13" fillId="2" borderId="17" xfId="0" applyNumberFormat="1" applyFont="1" applyFill="1" applyBorder="1" applyProtection="1">
      <protection locked="0"/>
    </xf>
    <xf numFmtId="0" fontId="11" fillId="4" borderId="0" xfId="0" applyFont="1" applyFill="1" applyProtection="1">
      <protection hidden="1"/>
    </xf>
    <xf numFmtId="0" fontId="16" fillId="11" borderId="23" xfId="0" applyFont="1" applyFill="1" applyBorder="1" applyProtection="1">
      <protection hidden="1"/>
    </xf>
    <xf numFmtId="0" fontId="16" fillId="11" borderId="15" xfId="0" applyFont="1" applyFill="1" applyBorder="1" applyProtection="1">
      <protection hidden="1"/>
    </xf>
    <xf numFmtId="3" fontId="1" fillId="2" borderId="24" xfId="0" applyNumberFormat="1" applyFont="1" applyFill="1" applyBorder="1" applyAlignment="1" applyProtection="1">
      <alignment horizontal="center"/>
      <protection locked="0"/>
    </xf>
    <xf numFmtId="3" fontId="1" fillId="2" borderId="17" xfId="0" applyNumberFormat="1" applyFont="1" applyFill="1" applyBorder="1" applyAlignment="1" applyProtection="1">
      <alignment horizontal="center"/>
      <protection locked="0"/>
    </xf>
    <xf numFmtId="0" fontId="13" fillId="11" borderId="23" xfId="0" applyFont="1" applyFill="1" applyBorder="1" applyAlignment="1" applyProtection="1">
      <alignment horizontal="right"/>
      <protection hidden="1"/>
    </xf>
    <xf numFmtId="0" fontId="13" fillId="11" borderId="15" xfId="0" applyFont="1" applyFill="1" applyBorder="1" applyAlignment="1" applyProtection="1">
      <alignment horizontal="right"/>
      <protection hidden="1"/>
    </xf>
    <xf numFmtId="0" fontId="13" fillId="11" borderId="54" xfId="0" applyFont="1" applyFill="1" applyBorder="1" applyAlignment="1" applyProtection="1">
      <alignment horizontal="right"/>
      <protection hidden="1"/>
    </xf>
    <xf numFmtId="0" fontId="18" fillId="11" borderId="56" xfId="0" applyFont="1" applyFill="1" applyBorder="1" applyProtection="1">
      <protection hidden="1"/>
    </xf>
    <xf numFmtId="3" fontId="18" fillId="12" borderId="57" xfId="0" applyNumberFormat="1" applyFont="1" applyFill="1" applyBorder="1" applyProtection="1">
      <protection hidden="1"/>
    </xf>
    <xf numFmtId="3" fontId="18" fillId="12" borderId="58" xfId="0" applyNumberFormat="1" applyFont="1" applyFill="1" applyBorder="1" applyProtection="1">
      <protection hidden="1"/>
    </xf>
    <xf numFmtId="3" fontId="1" fillId="2" borderId="50" xfId="0" applyNumberFormat="1" applyFont="1" applyFill="1" applyBorder="1" applyProtection="1">
      <protection locked="0"/>
    </xf>
    <xf numFmtId="3" fontId="1" fillId="2" borderId="55" xfId="0" applyNumberFormat="1" applyFont="1" applyFill="1" applyBorder="1" applyProtection="1">
      <protection locked="0"/>
    </xf>
    <xf numFmtId="0" fontId="7" fillId="0" borderId="0" xfId="0" applyFont="1" applyAlignment="1">
      <alignment vertical="top" wrapText="1" shrinkToFit="1" readingOrder="2"/>
    </xf>
    <xf numFmtId="0" fontId="22" fillId="0" borderId="0" xfId="0" applyFont="1" applyAlignment="1">
      <alignment horizontal="justify" vertical="top" wrapText="1" shrinkToFit="1" readingOrder="2"/>
    </xf>
    <xf numFmtId="0" fontId="7" fillId="0" borderId="0" xfId="0" applyFont="1" applyAlignment="1">
      <alignment horizontal="center" vertical="top" wrapText="1" shrinkToFit="1" readingOrder="2"/>
    </xf>
    <xf numFmtId="0" fontId="1" fillId="11" borderId="10" xfId="0" applyFont="1" applyFill="1" applyBorder="1" applyAlignment="1" applyProtection="1">
      <alignment horizontal="right"/>
      <protection locked="0" hidden="1"/>
    </xf>
    <xf numFmtId="0" fontId="19" fillId="0" borderId="66" xfId="0" applyFont="1" applyBorder="1"/>
    <xf numFmtId="0" fontId="19" fillId="0" borderId="66" xfId="0" applyFont="1" applyBorder="1" applyAlignment="1">
      <alignment horizontal="right"/>
    </xf>
    <xf numFmtId="1" fontId="24" fillId="0" borderId="66" xfId="0" applyNumberFormat="1" applyFont="1" applyBorder="1" applyAlignment="1">
      <alignment horizontal="right" shrinkToFit="1"/>
    </xf>
    <xf numFmtId="0" fontId="22" fillId="4" borderId="0" xfId="0" applyFont="1" applyFill="1"/>
    <xf numFmtId="3" fontId="1" fillId="2" borderId="121" xfId="0" applyNumberFormat="1" applyFont="1" applyFill="1" applyBorder="1" applyProtection="1">
      <protection locked="0"/>
    </xf>
    <xf numFmtId="3" fontId="1" fillId="2" borderId="1" xfId="0" applyNumberFormat="1" applyFont="1" applyFill="1" applyBorder="1" applyProtection="1">
      <protection locked="0"/>
    </xf>
    <xf numFmtId="3" fontId="1" fillId="2" borderId="11" xfId="0" applyNumberFormat="1" applyFont="1" applyFill="1" applyBorder="1" applyProtection="1">
      <protection locked="0"/>
    </xf>
    <xf numFmtId="3" fontId="1" fillId="2" borderId="36" xfId="0" applyNumberFormat="1" applyFont="1" applyFill="1" applyBorder="1" applyProtection="1">
      <protection locked="0"/>
    </xf>
    <xf numFmtId="3" fontId="3" fillId="12" borderId="68" xfId="0" applyNumberFormat="1" applyFont="1" applyFill="1" applyBorder="1" applyProtection="1">
      <protection hidden="1"/>
    </xf>
    <xf numFmtId="3" fontId="3" fillId="12" borderId="50" xfId="0" applyNumberFormat="1" applyFont="1" applyFill="1" applyBorder="1" applyProtection="1">
      <protection hidden="1"/>
    </xf>
    <xf numFmtId="3" fontId="3" fillId="12" borderId="55" xfId="0" applyNumberFormat="1" applyFont="1" applyFill="1" applyBorder="1" applyProtection="1">
      <protection hidden="1"/>
    </xf>
    <xf numFmtId="3" fontId="3" fillId="12" borderId="52" xfId="0" applyNumberFormat="1" applyFont="1" applyFill="1" applyBorder="1" applyProtection="1">
      <protection hidden="1"/>
    </xf>
    <xf numFmtId="3" fontId="1" fillId="12" borderId="70" xfId="0" applyNumberFormat="1" applyFont="1" applyFill="1" applyBorder="1" applyProtection="1">
      <protection hidden="1"/>
    </xf>
    <xf numFmtId="3" fontId="1" fillId="12" borderId="57" xfId="0" applyNumberFormat="1" applyFont="1" applyFill="1" applyBorder="1" applyProtection="1">
      <protection hidden="1"/>
    </xf>
    <xf numFmtId="3" fontId="1" fillId="12" borderId="58" xfId="0" applyNumberFormat="1" applyFont="1" applyFill="1" applyBorder="1" applyProtection="1">
      <protection hidden="1"/>
    </xf>
    <xf numFmtId="0" fontId="8" fillId="3" borderId="111" xfId="0" applyFont="1" applyFill="1" applyBorder="1" applyAlignment="1" applyProtection="1">
      <alignment horizontal="right" vertical="center"/>
      <protection hidden="1"/>
    </xf>
    <xf numFmtId="0" fontId="7" fillId="0" borderId="14" xfId="0" applyFont="1" applyBorder="1" applyAlignment="1">
      <alignment horizontal="left" wrapText="1"/>
    </xf>
    <xf numFmtId="0" fontId="7" fillId="0" borderId="0" xfId="0" applyFont="1" applyAlignment="1">
      <alignment horizontal="left" wrapText="1"/>
    </xf>
    <xf numFmtId="0" fontId="7" fillId="0" borderId="0" xfId="0" applyFont="1" applyAlignment="1">
      <alignment horizontal="justify" vertical="top" wrapText="1" shrinkToFit="1" readingOrder="2"/>
    </xf>
    <xf numFmtId="0" fontId="1" fillId="5" borderId="142" xfId="0" applyFont="1" applyFill="1" applyBorder="1" applyProtection="1">
      <protection hidden="1"/>
    </xf>
    <xf numFmtId="0" fontId="33" fillId="0" borderId="66" xfId="0" applyFont="1" applyBorder="1"/>
    <xf numFmtId="0" fontId="3" fillId="11" borderId="47" xfId="0" applyFont="1" applyFill="1" applyBorder="1"/>
    <xf numFmtId="1" fontId="3" fillId="12" borderId="36" xfId="0" applyNumberFormat="1" applyFont="1" applyFill="1" applyBorder="1"/>
    <xf numFmtId="0" fontId="2" fillId="17" borderId="51" xfId="0" applyFont="1" applyFill="1" applyBorder="1" applyAlignment="1">
      <alignment horizontal="center"/>
    </xf>
    <xf numFmtId="0" fontId="2" fillId="17" borderId="52" xfId="0" applyFont="1" applyFill="1" applyBorder="1" applyAlignment="1">
      <alignment horizontal="center"/>
    </xf>
    <xf numFmtId="0" fontId="2" fillId="17" borderId="69" xfId="0" applyFont="1" applyFill="1" applyBorder="1" applyAlignment="1">
      <alignment horizontal="center"/>
    </xf>
    <xf numFmtId="0" fontId="2" fillId="17" borderId="53" xfId="0" applyFont="1" applyFill="1" applyBorder="1" applyAlignment="1">
      <alignment horizontal="center"/>
    </xf>
    <xf numFmtId="0" fontId="19" fillId="4" borderId="0" xfId="0" applyFont="1" applyFill="1" applyProtection="1">
      <protection hidden="1"/>
    </xf>
    <xf numFmtId="0" fontId="3" fillId="12" borderId="15" xfId="0" applyFont="1" applyFill="1" applyBorder="1" applyAlignment="1" applyProtection="1">
      <alignment horizontal="right"/>
      <protection hidden="1"/>
    </xf>
    <xf numFmtId="1" fontId="35" fillId="16" borderId="117" xfId="0" applyNumberFormat="1" applyFont="1" applyFill="1" applyBorder="1" applyAlignment="1" applyProtection="1">
      <alignment horizontal="right" vertical="center"/>
      <protection hidden="1"/>
    </xf>
    <xf numFmtId="3" fontId="16" fillId="12" borderId="16" xfId="0" applyNumberFormat="1" applyFont="1" applyFill="1" applyBorder="1" applyProtection="1">
      <protection hidden="1"/>
    </xf>
    <xf numFmtId="3" fontId="16" fillId="12" borderId="41" xfId="0" applyNumberFormat="1" applyFont="1" applyFill="1" applyBorder="1" applyProtection="1">
      <protection hidden="1"/>
    </xf>
    <xf numFmtId="3" fontId="3" fillId="2" borderId="37" xfId="0" applyNumberFormat="1" applyFont="1" applyFill="1" applyBorder="1" applyProtection="1">
      <protection locked="0"/>
    </xf>
    <xf numFmtId="3" fontId="3" fillId="2" borderId="16" xfId="0" applyNumberFormat="1" applyFont="1" applyFill="1" applyBorder="1" applyProtection="1">
      <protection locked="0"/>
    </xf>
    <xf numFmtId="3" fontId="3" fillId="2" borderId="17" xfId="0" applyNumberFormat="1" applyFont="1" applyFill="1" applyBorder="1" applyProtection="1">
      <protection locked="0"/>
    </xf>
    <xf numFmtId="0" fontId="3" fillId="2" borderId="15" xfId="0" applyFont="1" applyFill="1" applyBorder="1" applyAlignment="1" applyProtection="1">
      <alignment horizontal="right"/>
      <protection hidden="1"/>
    </xf>
    <xf numFmtId="0" fontId="3" fillId="5" borderId="0" xfId="0" applyFont="1" applyFill="1" applyProtection="1">
      <protection hidden="1"/>
    </xf>
    <xf numFmtId="3" fontId="3" fillId="2" borderId="122" xfId="0" applyNumberFormat="1" applyFont="1" applyFill="1" applyBorder="1" applyProtection="1">
      <protection locked="0"/>
    </xf>
    <xf numFmtId="3" fontId="13" fillId="12" borderId="50" xfId="0" applyNumberFormat="1" applyFont="1" applyFill="1" applyBorder="1" applyProtection="1">
      <protection hidden="1"/>
    </xf>
    <xf numFmtId="3" fontId="13" fillId="12" borderId="57" xfId="0" applyNumberFormat="1" applyFont="1" applyFill="1" applyBorder="1" applyProtection="1">
      <protection hidden="1"/>
    </xf>
    <xf numFmtId="0" fontId="1" fillId="12" borderId="145" xfId="0" applyFont="1" applyFill="1" applyBorder="1" applyAlignment="1">
      <alignment horizontal="right"/>
    </xf>
    <xf numFmtId="0" fontId="1" fillId="11" borderId="146" xfId="0" applyFont="1" applyFill="1" applyBorder="1" applyAlignment="1">
      <alignment horizontal="right"/>
    </xf>
    <xf numFmtId="0" fontId="1" fillId="11" borderId="48" xfId="0" applyFont="1" applyFill="1" applyBorder="1" applyAlignment="1">
      <alignment horizontal="right"/>
    </xf>
    <xf numFmtId="0" fontId="1" fillId="13" borderId="0" xfId="0" applyFont="1" applyFill="1" applyProtection="1">
      <protection hidden="1"/>
    </xf>
    <xf numFmtId="49" fontId="1" fillId="2" borderId="10" xfId="0" applyNumberFormat="1" applyFont="1" applyFill="1" applyBorder="1" applyProtection="1">
      <protection locked="0"/>
    </xf>
    <xf numFmtId="49" fontId="1" fillId="2" borderId="11" xfId="0" applyNumberFormat="1" applyFont="1" applyFill="1" applyBorder="1" applyProtection="1">
      <protection locked="0"/>
    </xf>
    <xf numFmtId="49" fontId="1" fillId="13" borderId="0" xfId="0" applyNumberFormat="1" applyFont="1" applyFill="1" applyProtection="1">
      <protection hidden="1"/>
    </xf>
    <xf numFmtId="0" fontId="37" fillId="13" borderId="0" xfId="0" applyFont="1" applyFill="1" applyProtection="1">
      <protection hidden="1"/>
    </xf>
    <xf numFmtId="49" fontId="37" fillId="13" borderId="0" xfId="0" applyNumberFormat="1" applyFont="1" applyFill="1" applyProtection="1">
      <protection hidden="1"/>
    </xf>
    <xf numFmtId="0" fontId="1" fillId="7" borderId="0" xfId="0" applyFont="1" applyFill="1" applyBorder="1" applyProtection="1">
      <protection hidden="1"/>
    </xf>
    <xf numFmtId="3" fontId="1" fillId="2" borderId="74" xfId="0" applyNumberFormat="1" applyFont="1" applyFill="1" applyBorder="1" applyAlignment="1" applyProtection="1">
      <alignment horizontal="right"/>
      <protection locked="0"/>
    </xf>
    <xf numFmtId="3" fontId="1" fillId="2" borderId="73" xfId="0" applyNumberFormat="1" applyFont="1" applyFill="1" applyBorder="1" applyAlignment="1" applyProtection="1">
      <alignment horizontal="right"/>
      <protection locked="0"/>
    </xf>
    <xf numFmtId="3" fontId="1" fillId="2" borderId="80" xfId="0" applyNumberFormat="1" applyFont="1" applyFill="1" applyBorder="1" applyAlignment="1" applyProtection="1">
      <alignment horizontal="right"/>
      <protection locked="0"/>
    </xf>
    <xf numFmtId="3" fontId="1" fillId="12" borderId="71" xfId="0" applyNumberFormat="1" applyFont="1" applyFill="1" applyBorder="1" applyProtection="1">
      <protection hidden="1"/>
    </xf>
    <xf numFmtId="3" fontId="1" fillId="12" borderId="64" xfId="0" applyNumberFormat="1" applyFont="1" applyFill="1" applyBorder="1" applyProtection="1">
      <protection hidden="1"/>
    </xf>
    <xf numFmtId="3" fontId="1" fillId="12" borderId="65" xfId="0" applyNumberFormat="1" applyFont="1" applyFill="1" applyBorder="1" applyProtection="1">
      <protection hidden="1"/>
    </xf>
    <xf numFmtId="3" fontId="3" fillId="12" borderId="69" xfId="0" applyNumberFormat="1" applyFont="1" applyFill="1" applyBorder="1" applyProtection="1">
      <protection hidden="1"/>
    </xf>
    <xf numFmtId="3" fontId="3" fillId="12" borderId="53" xfId="0" applyNumberFormat="1" applyFont="1" applyFill="1" applyBorder="1" applyProtection="1">
      <protection hidden="1"/>
    </xf>
    <xf numFmtId="0" fontId="38" fillId="0" borderId="14" xfId="0" applyFont="1" applyBorder="1" applyAlignment="1">
      <alignment horizontal="left" vertical="center" wrapText="1"/>
    </xf>
    <xf numFmtId="0" fontId="35" fillId="14" borderId="31" xfId="0" applyFont="1" applyFill="1" applyBorder="1" applyAlignment="1" applyProtection="1">
      <alignment horizontal="center" vertical="center"/>
      <protection hidden="1"/>
    </xf>
    <xf numFmtId="0" fontId="35" fillId="14" borderId="38" xfId="0" applyFont="1" applyFill="1" applyBorder="1" applyAlignment="1" applyProtection="1">
      <alignment horizontal="center" vertical="center"/>
      <protection hidden="1"/>
    </xf>
    <xf numFmtId="0" fontId="35" fillId="14" borderId="34" xfId="0" applyFont="1" applyFill="1" applyBorder="1" applyAlignment="1" applyProtection="1">
      <alignment horizontal="center" vertical="center"/>
      <protection hidden="1"/>
    </xf>
    <xf numFmtId="0" fontId="35" fillId="14" borderId="32" xfId="0" applyFont="1" applyFill="1" applyBorder="1" applyAlignment="1" applyProtection="1">
      <alignment horizontal="center" vertical="center"/>
      <protection hidden="1"/>
    </xf>
    <xf numFmtId="0" fontId="35" fillId="14" borderId="33" xfId="0" applyFont="1" applyFill="1" applyBorder="1" applyAlignment="1" applyProtection="1">
      <alignment horizontal="center" vertical="center"/>
      <protection hidden="1"/>
    </xf>
    <xf numFmtId="0" fontId="35" fillId="16" borderId="32" xfId="0" applyFont="1" applyFill="1" applyBorder="1" applyAlignment="1" applyProtection="1">
      <alignment horizontal="center" vertical="center"/>
      <protection hidden="1"/>
    </xf>
    <xf numFmtId="0" fontId="35" fillId="16" borderId="33" xfId="0" applyFont="1" applyFill="1" applyBorder="1" applyAlignment="1" applyProtection="1">
      <alignment horizontal="center" vertical="center"/>
      <protection hidden="1"/>
    </xf>
    <xf numFmtId="0" fontId="35" fillId="16" borderId="31" xfId="0" applyFont="1" applyFill="1" applyBorder="1" applyAlignment="1" applyProtection="1">
      <alignment horizontal="center" vertical="center"/>
      <protection hidden="1"/>
    </xf>
    <xf numFmtId="0" fontId="35" fillId="16" borderId="34" xfId="0" applyFont="1" applyFill="1" applyBorder="1" applyAlignment="1" applyProtection="1">
      <alignment horizontal="center" vertical="center"/>
      <protection hidden="1"/>
    </xf>
    <xf numFmtId="0" fontId="35" fillId="14" borderId="59" xfId="0" applyFont="1" applyFill="1" applyBorder="1" applyAlignment="1" applyProtection="1">
      <alignment horizontal="center" vertical="center" wrapText="1"/>
      <protection hidden="1"/>
    </xf>
    <xf numFmtId="0" fontId="35" fillId="16" borderId="38" xfId="0" applyFont="1" applyFill="1" applyBorder="1" applyAlignment="1" applyProtection="1">
      <alignment horizontal="center" vertical="center"/>
      <protection hidden="1"/>
    </xf>
    <xf numFmtId="0" fontId="35" fillId="16" borderId="59" xfId="0" applyFont="1" applyFill="1" applyBorder="1" applyAlignment="1" applyProtection="1">
      <alignment horizontal="center" vertical="center" wrapText="1"/>
      <protection hidden="1"/>
    </xf>
    <xf numFmtId="0" fontId="35" fillId="18" borderId="25" xfId="0" applyFont="1" applyFill="1" applyBorder="1" applyAlignment="1" applyProtection="1">
      <alignment horizontal="center"/>
      <protection hidden="1"/>
    </xf>
    <xf numFmtId="0" fontId="29" fillId="18" borderId="32" xfId="0" applyFont="1" applyFill="1" applyBorder="1" applyAlignment="1" applyProtection="1">
      <alignment horizontal="center" vertical="center"/>
      <protection hidden="1"/>
    </xf>
    <xf numFmtId="0" fontId="29" fillId="18" borderId="33" xfId="0" applyFont="1" applyFill="1" applyBorder="1" applyAlignment="1" applyProtection="1">
      <alignment horizontal="center" vertical="center"/>
      <protection hidden="1"/>
    </xf>
    <xf numFmtId="0" fontId="29" fillId="18" borderId="31" xfId="0" applyFont="1" applyFill="1" applyBorder="1" applyAlignment="1" applyProtection="1">
      <alignment horizontal="center" vertical="center"/>
      <protection hidden="1"/>
    </xf>
    <xf numFmtId="0" fontId="31" fillId="18" borderId="32" xfId="0" applyFont="1" applyFill="1" applyBorder="1" applyAlignment="1" applyProtection="1">
      <alignment horizontal="center" vertical="center"/>
      <protection hidden="1"/>
    </xf>
    <xf numFmtId="0" fontId="31" fillId="18" borderId="94" xfId="0" applyFont="1" applyFill="1" applyBorder="1" applyAlignment="1" applyProtection="1">
      <alignment horizontal="center" vertical="center" wrapText="1"/>
      <protection hidden="1"/>
    </xf>
    <xf numFmtId="0" fontId="31" fillId="18" borderId="95" xfId="0" applyFont="1" applyFill="1" applyBorder="1" applyAlignment="1" applyProtection="1">
      <alignment horizontal="center" vertical="center" wrapText="1"/>
      <protection hidden="1"/>
    </xf>
    <xf numFmtId="0" fontId="31" fillId="18" borderId="96" xfId="0" applyFont="1" applyFill="1" applyBorder="1" applyAlignment="1" applyProtection="1">
      <alignment horizontal="center" vertical="center"/>
      <protection hidden="1"/>
    </xf>
    <xf numFmtId="0" fontId="31" fillId="18" borderId="97" xfId="0" applyFont="1" applyFill="1" applyBorder="1" applyAlignment="1" applyProtection="1">
      <alignment horizontal="center" vertical="center"/>
      <protection hidden="1"/>
    </xf>
    <xf numFmtId="0" fontId="31" fillId="18" borderId="98" xfId="0" applyFont="1" applyFill="1" applyBorder="1" applyAlignment="1" applyProtection="1">
      <alignment horizontal="center" vertical="center"/>
      <protection hidden="1"/>
    </xf>
    <xf numFmtId="0" fontId="41" fillId="18" borderId="117" xfId="0" applyFont="1" applyFill="1" applyBorder="1" applyAlignment="1" applyProtection="1">
      <alignment horizontal="center" vertical="center" wrapText="1"/>
      <protection hidden="1"/>
    </xf>
    <xf numFmtId="0" fontId="35" fillId="18" borderId="49" xfId="0" applyFont="1" applyFill="1" applyBorder="1" applyProtection="1">
      <protection hidden="1"/>
    </xf>
    <xf numFmtId="0" fontId="35" fillId="18" borderId="27" xfId="0" applyFont="1" applyFill="1" applyBorder="1" applyAlignment="1" applyProtection="1">
      <alignment horizontal="center"/>
      <protection hidden="1"/>
    </xf>
    <xf numFmtId="0" fontId="35" fillId="18" borderId="52" xfId="0" applyFont="1" applyFill="1" applyBorder="1" applyAlignment="1" applyProtection="1">
      <alignment horizontal="center"/>
      <protection hidden="1"/>
    </xf>
    <xf numFmtId="0" fontId="35" fillId="18" borderId="53" xfId="0" applyFont="1" applyFill="1" applyBorder="1" applyAlignment="1" applyProtection="1">
      <alignment horizontal="center"/>
      <protection hidden="1"/>
    </xf>
    <xf numFmtId="0" fontId="1" fillId="11" borderId="157" xfId="0" applyFont="1" applyFill="1" applyBorder="1" applyAlignment="1">
      <alignment horizontal="right"/>
    </xf>
    <xf numFmtId="0" fontId="1" fillId="11" borderId="158" xfId="0" applyFont="1" applyFill="1" applyBorder="1" applyAlignment="1">
      <alignment horizontal="right"/>
    </xf>
    <xf numFmtId="3" fontId="13" fillId="12" borderId="54" xfId="0" applyNumberFormat="1" applyFont="1" applyFill="1" applyBorder="1" applyProtection="1">
      <protection hidden="1"/>
    </xf>
    <xf numFmtId="3" fontId="13" fillId="12" borderId="56" xfId="0" applyNumberFormat="1" applyFont="1" applyFill="1" applyBorder="1" applyProtection="1">
      <protection hidden="1"/>
    </xf>
    <xf numFmtId="0" fontId="40" fillId="14" borderId="10" xfId="0" applyFont="1" applyFill="1" applyBorder="1" applyAlignment="1" applyProtection="1">
      <alignment horizontal="center"/>
      <protection hidden="1"/>
    </xf>
    <xf numFmtId="0" fontId="40" fillId="16" borderId="11" xfId="0" applyFont="1" applyFill="1" applyBorder="1" applyAlignment="1" applyProtection="1">
      <alignment horizontal="center"/>
      <protection hidden="1"/>
    </xf>
    <xf numFmtId="0" fontId="40" fillId="15" borderId="10" xfId="0" applyFont="1" applyFill="1" applyBorder="1" applyAlignment="1" applyProtection="1">
      <alignment horizontal="center"/>
      <protection hidden="1"/>
    </xf>
    <xf numFmtId="0" fontId="42" fillId="14" borderId="136" xfId="0" applyFont="1" applyFill="1" applyBorder="1" applyAlignment="1" applyProtection="1">
      <alignment horizontal="center" wrapText="1"/>
      <protection hidden="1"/>
    </xf>
    <xf numFmtId="0" fontId="42" fillId="16" borderId="136" xfId="0" applyFont="1" applyFill="1" applyBorder="1" applyAlignment="1" applyProtection="1">
      <alignment horizontal="center" wrapText="1"/>
      <protection hidden="1"/>
    </xf>
    <xf numFmtId="0" fontId="42" fillId="18" borderId="136" xfId="0" applyFont="1" applyFill="1" applyBorder="1" applyAlignment="1" applyProtection="1">
      <alignment horizontal="center" wrapText="1"/>
      <protection hidden="1"/>
    </xf>
    <xf numFmtId="0" fontId="35" fillId="18" borderId="51" xfId="0" applyFont="1" applyFill="1" applyBorder="1" applyAlignment="1" applyProtection="1">
      <alignment horizontal="center"/>
      <protection hidden="1"/>
    </xf>
    <xf numFmtId="0" fontId="29" fillId="18" borderId="96" xfId="0" applyFont="1" applyFill="1" applyBorder="1" applyAlignment="1" applyProtection="1">
      <alignment horizontal="center" vertical="center"/>
      <protection hidden="1"/>
    </xf>
    <xf numFmtId="0" fontId="29" fillId="18" borderId="130" xfId="0" applyFont="1" applyFill="1" applyBorder="1" applyAlignment="1" applyProtection="1">
      <alignment horizontal="center" vertical="center"/>
      <protection hidden="1"/>
    </xf>
    <xf numFmtId="164" fontId="1" fillId="12" borderId="16" xfId="1" applyNumberFormat="1" applyFont="1" applyFill="1" applyBorder="1" applyProtection="1">
      <protection hidden="1"/>
    </xf>
    <xf numFmtId="164" fontId="1" fillId="12" borderId="16" xfId="0" applyNumberFormat="1" applyFont="1" applyFill="1" applyBorder="1" applyProtection="1">
      <protection hidden="1"/>
    </xf>
    <xf numFmtId="164" fontId="1" fillId="12" borderId="17" xfId="0" applyNumberFormat="1" applyFont="1" applyFill="1" applyBorder="1" applyProtection="1">
      <protection hidden="1"/>
    </xf>
    <xf numFmtId="164" fontId="1" fillId="5" borderId="0" xfId="0" applyNumberFormat="1" applyFont="1" applyFill="1" applyProtection="1">
      <protection hidden="1"/>
    </xf>
    <xf numFmtId="164" fontId="1" fillId="12" borderId="15" xfId="0" applyNumberFormat="1" applyFont="1" applyFill="1" applyBorder="1" applyProtection="1">
      <protection hidden="1"/>
    </xf>
    <xf numFmtId="164" fontId="13" fillId="12" borderId="134" xfId="1" applyNumberFormat="1" applyFont="1" applyFill="1" applyBorder="1" applyProtection="1">
      <protection hidden="1"/>
    </xf>
    <xf numFmtId="164" fontId="13" fillId="12" borderId="135" xfId="1" applyNumberFormat="1" applyFont="1" applyFill="1" applyBorder="1" applyProtection="1">
      <protection hidden="1"/>
    </xf>
    <xf numFmtId="3" fontId="16" fillId="2" borderId="35" xfId="0" applyNumberFormat="1" applyFont="1" applyFill="1" applyBorder="1" applyProtection="1">
      <protection locked="0"/>
    </xf>
    <xf numFmtId="3" fontId="16" fillId="2" borderId="22" xfId="0" applyNumberFormat="1" applyFont="1" applyFill="1" applyBorder="1" applyProtection="1">
      <protection locked="0"/>
    </xf>
    <xf numFmtId="3" fontId="16" fillId="2" borderId="24" xfId="0" applyNumberFormat="1" applyFont="1" applyFill="1" applyBorder="1" applyProtection="1">
      <protection locked="0"/>
    </xf>
    <xf numFmtId="3" fontId="7" fillId="12" borderId="118" xfId="0" applyNumberFormat="1" applyFont="1" applyFill="1" applyBorder="1" applyAlignment="1" applyProtection="1">
      <alignment wrapText="1"/>
      <protection hidden="1"/>
    </xf>
    <xf numFmtId="3" fontId="6" fillId="4" borderId="0" xfId="0" applyNumberFormat="1" applyFont="1" applyFill="1" applyAlignment="1" applyProtection="1">
      <alignment vertical="center" wrapText="1"/>
      <protection hidden="1"/>
    </xf>
    <xf numFmtId="3" fontId="7" fillId="12" borderId="23" xfId="0" applyNumberFormat="1" applyFont="1" applyFill="1" applyBorder="1" applyProtection="1">
      <protection hidden="1"/>
    </xf>
    <xf numFmtId="3" fontId="7" fillId="12" borderId="22" xfId="0" applyNumberFormat="1" applyFont="1" applyFill="1" applyBorder="1" applyProtection="1">
      <protection hidden="1"/>
    </xf>
    <xf numFmtId="3" fontId="7" fillId="12" borderId="24" xfId="0" applyNumberFormat="1" applyFont="1" applyFill="1" applyBorder="1" applyProtection="1">
      <protection hidden="1"/>
    </xf>
    <xf numFmtId="3" fontId="13" fillId="2" borderId="11" xfId="0" applyNumberFormat="1" applyFont="1" applyFill="1" applyBorder="1" applyProtection="1">
      <protection locked="0"/>
    </xf>
    <xf numFmtId="3" fontId="7" fillId="12" borderId="10" xfId="0" applyNumberFormat="1" applyFont="1" applyFill="1" applyBorder="1" applyProtection="1">
      <protection hidden="1"/>
    </xf>
    <xf numFmtId="3" fontId="7" fillId="12" borderId="1" xfId="0" applyNumberFormat="1" applyFont="1" applyFill="1" applyBorder="1" applyProtection="1">
      <protection hidden="1"/>
    </xf>
    <xf numFmtId="3" fontId="7" fillId="12" borderId="11" xfId="0" applyNumberFormat="1" applyFont="1" applyFill="1" applyBorder="1" applyProtection="1">
      <protection hidden="1"/>
    </xf>
    <xf numFmtId="3" fontId="13" fillId="2" borderId="0" xfId="0" applyNumberFormat="1" applyFont="1" applyFill="1" applyProtection="1">
      <protection locked="0"/>
    </xf>
    <xf numFmtId="3" fontId="13" fillId="2" borderId="42" xfId="0" applyNumberFormat="1" applyFont="1" applyFill="1" applyBorder="1" applyProtection="1">
      <protection locked="0"/>
    </xf>
    <xf numFmtId="3" fontId="13" fillId="2" borderId="9" xfId="0" applyNumberFormat="1" applyFont="1" applyFill="1" applyBorder="1" applyProtection="1">
      <protection locked="0"/>
    </xf>
    <xf numFmtId="3" fontId="13" fillId="2" borderId="13" xfId="0" applyNumberFormat="1" applyFont="1" applyFill="1" applyBorder="1" applyProtection="1">
      <protection locked="0"/>
    </xf>
    <xf numFmtId="3" fontId="7" fillId="12" borderId="119" xfId="0" applyNumberFormat="1" applyFont="1" applyFill="1" applyBorder="1" applyAlignment="1" applyProtection="1">
      <alignment wrapText="1"/>
      <protection hidden="1"/>
    </xf>
    <xf numFmtId="3" fontId="7" fillId="12" borderId="118" xfId="0" applyNumberFormat="1" applyFont="1" applyFill="1" applyBorder="1" applyProtection="1">
      <protection hidden="1"/>
    </xf>
    <xf numFmtId="3" fontId="7" fillId="4" borderId="0" xfId="0" applyNumberFormat="1" applyFont="1" applyFill="1" applyProtection="1">
      <protection hidden="1"/>
    </xf>
    <xf numFmtId="3" fontId="7" fillId="12" borderId="119" xfId="0" applyNumberFormat="1" applyFont="1" applyFill="1" applyBorder="1" applyProtection="1">
      <protection hidden="1"/>
    </xf>
    <xf numFmtId="3" fontId="7" fillId="12" borderId="15" xfId="0" applyNumberFormat="1" applyFont="1" applyFill="1" applyBorder="1" applyProtection="1">
      <protection hidden="1"/>
    </xf>
    <xf numFmtId="3" fontId="7" fillId="12" borderId="16" xfId="0" applyNumberFormat="1" applyFont="1" applyFill="1" applyBorder="1" applyProtection="1">
      <protection hidden="1"/>
    </xf>
    <xf numFmtId="3" fontId="7" fillId="12" borderId="17" xfId="0" applyNumberFormat="1" applyFont="1" applyFill="1" applyBorder="1" applyProtection="1">
      <protection hidden="1"/>
    </xf>
    <xf numFmtId="0" fontId="29" fillId="18" borderId="94" xfId="0" applyFont="1" applyFill="1" applyBorder="1" applyAlignment="1" applyProtection="1">
      <alignment horizontal="center" vertical="center" wrapText="1"/>
      <protection hidden="1"/>
    </xf>
    <xf numFmtId="164" fontId="13" fillId="12" borderId="161" xfId="1" applyNumberFormat="1" applyFont="1" applyFill="1" applyBorder="1" applyProtection="1">
      <protection hidden="1"/>
    </xf>
    <xf numFmtId="0" fontId="1" fillId="5" borderId="162" xfId="0" applyFont="1" applyFill="1" applyBorder="1" applyProtection="1">
      <protection hidden="1"/>
    </xf>
    <xf numFmtId="0" fontId="29" fillId="18" borderId="25" xfId="0" applyFont="1" applyFill="1" applyBorder="1" applyAlignment="1">
      <alignment horizontal="center"/>
    </xf>
    <xf numFmtId="0" fontId="29" fillId="18" borderId="51" xfId="0" applyFont="1" applyFill="1" applyBorder="1" applyAlignment="1">
      <alignment horizontal="center"/>
    </xf>
    <xf numFmtId="0" fontId="29" fillId="18" borderId="52" xfId="0" applyFont="1" applyFill="1" applyBorder="1" applyAlignment="1">
      <alignment horizontal="center"/>
    </xf>
    <xf numFmtId="0" fontId="29" fillId="18" borderId="53" xfId="0" applyFont="1" applyFill="1" applyBorder="1" applyAlignment="1">
      <alignment horizontal="center"/>
    </xf>
    <xf numFmtId="0" fontId="29" fillId="18" borderId="69" xfId="0" applyFont="1" applyFill="1" applyBorder="1" applyAlignment="1">
      <alignment horizontal="center"/>
    </xf>
    <xf numFmtId="0" fontId="29" fillId="18" borderId="147" xfId="0" applyFont="1" applyFill="1" applyBorder="1" applyAlignment="1">
      <alignment horizontal="center"/>
    </xf>
    <xf numFmtId="0" fontId="29" fillId="18" borderId="109" xfId="0" applyFont="1" applyFill="1" applyBorder="1" applyAlignment="1">
      <alignment horizontal="center"/>
    </xf>
    <xf numFmtId="0" fontId="29" fillId="18" borderId="110" xfId="0" applyFont="1" applyFill="1" applyBorder="1" applyAlignment="1">
      <alignment horizontal="center"/>
    </xf>
    <xf numFmtId="0" fontId="29" fillId="18" borderId="144" xfId="0" applyFont="1" applyFill="1" applyBorder="1" applyAlignment="1">
      <alignment horizontal="center"/>
    </xf>
    <xf numFmtId="3" fontId="13" fillId="12" borderId="55" xfId="0" applyNumberFormat="1" applyFont="1" applyFill="1" applyBorder="1" applyProtection="1">
      <protection hidden="1"/>
    </xf>
    <xf numFmtId="3" fontId="13" fillId="2" borderId="68" xfId="0" applyNumberFormat="1" applyFont="1" applyFill="1" applyBorder="1" applyProtection="1">
      <protection locked="0"/>
    </xf>
    <xf numFmtId="3" fontId="13" fillId="2" borderId="50" xfId="0" applyNumberFormat="1" applyFont="1" applyFill="1" applyBorder="1" applyProtection="1">
      <protection locked="0"/>
    </xf>
    <xf numFmtId="3" fontId="13" fillId="2" borderId="50" xfId="0" quotePrefix="1" applyNumberFormat="1" applyFont="1" applyFill="1" applyBorder="1" applyProtection="1">
      <protection locked="0"/>
    </xf>
    <xf numFmtId="3" fontId="13" fillId="2" borderId="55" xfId="0" applyNumberFormat="1" applyFont="1" applyFill="1" applyBorder="1" applyProtection="1">
      <protection locked="0"/>
    </xf>
    <xf numFmtId="3" fontId="13" fillId="12" borderId="58" xfId="0" applyNumberFormat="1" applyFont="1" applyFill="1" applyBorder="1" applyProtection="1">
      <protection hidden="1"/>
    </xf>
    <xf numFmtId="3" fontId="13" fillId="2" borderId="70" xfId="0" applyNumberFormat="1" applyFont="1" applyFill="1" applyBorder="1" applyProtection="1">
      <protection locked="0"/>
    </xf>
    <xf numFmtId="3" fontId="13" fillId="2" borderId="57" xfId="0" applyNumberFormat="1" applyFont="1" applyFill="1" applyBorder="1" applyProtection="1">
      <protection locked="0"/>
    </xf>
    <xf numFmtId="3" fontId="13" fillId="2" borderId="58" xfId="0" applyNumberFormat="1" applyFont="1" applyFill="1" applyBorder="1" applyProtection="1">
      <protection locked="0"/>
    </xf>
    <xf numFmtId="3" fontId="1" fillId="7" borderId="64" xfId="0" applyNumberFormat="1" applyFont="1" applyFill="1" applyBorder="1" applyProtection="1">
      <protection hidden="1"/>
    </xf>
    <xf numFmtId="3" fontId="1" fillId="7" borderId="65" xfId="0" applyNumberFormat="1" applyFont="1" applyFill="1" applyBorder="1" applyProtection="1">
      <protection hidden="1"/>
    </xf>
    <xf numFmtId="3" fontId="1" fillId="7" borderId="57" xfId="0" applyNumberFormat="1" applyFont="1" applyFill="1" applyBorder="1" applyProtection="1">
      <protection hidden="1"/>
    </xf>
    <xf numFmtId="3" fontId="1" fillId="7" borderId="58" xfId="0" applyNumberFormat="1" applyFont="1" applyFill="1" applyBorder="1" applyProtection="1">
      <protection hidden="1"/>
    </xf>
    <xf numFmtId="3" fontId="1" fillId="2" borderId="71" xfId="0" applyNumberFormat="1" applyFont="1" applyFill="1" applyBorder="1" applyProtection="1">
      <protection locked="0"/>
    </xf>
    <xf numFmtId="3" fontId="1" fillId="2" borderId="64" xfId="0" applyNumberFormat="1" applyFont="1" applyFill="1" applyBorder="1" applyProtection="1">
      <protection locked="0"/>
    </xf>
    <xf numFmtId="3" fontId="1" fillId="2" borderId="65" xfId="0" applyNumberFormat="1" applyFont="1" applyFill="1" applyBorder="1" applyProtection="1">
      <protection locked="0"/>
    </xf>
    <xf numFmtId="3" fontId="1" fillId="2" borderId="70" xfId="0" applyNumberFormat="1" applyFont="1" applyFill="1" applyBorder="1" applyProtection="1">
      <protection locked="0"/>
    </xf>
    <xf numFmtId="3" fontId="1" fillId="2" borderId="57" xfId="0" applyNumberFormat="1" applyFont="1" applyFill="1" applyBorder="1" applyProtection="1">
      <protection locked="0"/>
    </xf>
    <xf numFmtId="3" fontId="1" fillId="2" borderId="58" xfId="0" applyNumberFormat="1" applyFont="1" applyFill="1" applyBorder="1" applyProtection="1">
      <protection locked="0"/>
    </xf>
    <xf numFmtId="3" fontId="1" fillId="12" borderId="73" xfId="0" applyNumberFormat="1" applyFont="1" applyFill="1" applyBorder="1" applyAlignment="1" applyProtection="1">
      <alignment horizontal="right"/>
      <protection hidden="1"/>
    </xf>
    <xf numFmtId="3" fontId="1" fillId="12" borderId="80" xfId="0" applyNumberFormat="1" applyFont="1" applyFill="1" applyBorder="1" applyAlignment="1" applyProtection="1">
      <alignment horizontal="right"/>
      <protection hidden="1"/>
    </xf>
    <xf numFmtId="3" fontId="3" fillId="12" borderId="61" xfId="0" applyNumberFormat="1" applyFont="1" applyFill="1" applyBorder="1" applyProtection="1">
      <protection hidden="1"/>
    </xf>
    <xf numFmtId="3" fontId="3" fillId="12" borderId="62" xfId="0" applyNumberFormat="1" applyFont="1" applyFill="1" applyBorder="1" applyProtection="1">
      <protection hidden="1"/>
    </xf>
    <xf numFmtId="1" fontId="35" fillId="16" borderId="32" xfId="0" applyNumberFormat="1" applyFont="1" applyFill="1" applyBorder="1" applyAlignment="1" applyProtection="1">
      <alignment horizontal="center" vertical="center"/>
      <protection hidden="1"/>
    </xf>
    <xf numFmtId="1" fontId="35" fillId="14" borderId="34" xfId="0" applyNumberFormat="1" applyFont="1" applyFill="1" applyBorder="1" applyAlignment="1" applyProtection="1">
      <alignment horizontal="center" vertical="center"/>
      <protection hidden="1"/>
    </xf>
    <xf numFmtId="1" fontId="35" fillId="14" borderId="32" xfId="0" applyNumberFormat="1" applyFont="1" applyFill="1" applyBorder="1" applyAlignment="1" applyProtection="1">
      <alignment horizontal="center" vertical="center"/>
      <protection hidden="1"/>
    </xf>
    <xf numFmtId="1" fontId="29" fillId="14" borderId="34" xfId="0" applyNumberFormat="1" applyFont="1" applyFill="1" applyBorder="1" applyAlignment="1" applyProtection="1">
      <alignment horizontal="center" vertical="center"/>
      <protection hidden="1"/>
    </xf>
    <xf numFmtId="1" fontId="35" fillId="14" borderId="33" xfId="0" applyNumberFormat="1" applyFont="1" applyFill="1" applyBorder="1" applyAlignment="1" applyProtection="1">
      <alignment horizontal="center" vertical="center"/>
      <protection hidden="1"/>
    </xf>
    <xf numFmtId="1" fontId="29" fillId="16" borderId="34" xfId="0" applyNumberFormat="1" applyFont="1" applyFill="1" applyBorder="1" applyAlignment="1" applyProtection="1">
      <alignment horizontal="center" vertical="center"/>
      <protection hidden="1"/>
    </xf>
    <xf numFmtId="1" fontId="35" fillId="16" borderId="33" xfId="0" applyNumberFormat="1" applyFont="1" applyFill="1" applyBorder="1" applyAlignment="1" applyProtection="1">
      <alignment horizontal="center" vertical="center"/>
      <protection hidden="1"/>
    </xf>
    <xf numFmtId="49" fontId="1" fillId="0" borderId="10" xfId="0" applyNumberFormat="1" applyFont="1" applyFill="1" applyBorder="1" applyProtection="1">
      <protection locked="0"/>
    </xf>
    <xf numFmtId="0" fontId="31" fillId="18" borderId="156" xfId="0" applyFont="1" applyFill="1" applyBorder="1" applyAlignment="1" applyProtection="1">
      <alignment horizontal="center" vertical="center"/>
      <protection hidden="1"/>
    </xf>
    <xf numFmtId="0" fontId="31" fillId="18" borderId="109" xfId="0" applyFont="1" applyFill="1" applyBorder="1" applyAlignment="1" applyProtection="1">
      <alignment horizontal="center" vertical="center"/>
      <protection hidden="1"/>
    </xf>
    <xf numFmtId="0" fontId="31" fillId="18" borderId="110" xfId="0" applyFont="1" applyFill="1" applyBorder="1" applyAlignment="1" applyProtection="1">
      <alignment horizontal="center" vertical="center"/>
      <protection hidden="1"/>
    </xf>
    <xf numFmtId="0" fontId="1" fillId="12" borderId="10" xfId="0" applyFont="1" applyFill="1" applyBorder="1" applyAlignment="1" applyProtection="1">
      <alignment horizontal="right"/>
      <protection hidden="1"/>
    </xf>
    <xf numFmtId="3" fontId="1" fillId="12" borderId="126" xfId="0" applyNumberFormat="1" applyFont="1" applyFill="1" applyBorder="1" applyProtection="1">
      <protection hidden="1"/>
    </xf>
    <xf numFmtId="3" fontId="1" fillId="12" borderId="40" xfId="0" applyNumberFormat="1" applyFont="1" applyFill="1" applyBorder="1" applyProtection="1">
      <protection hidden="1"/>
    </xf>
    <xf numFmtId="0" fontId="1" fillId="12" borderId="12" xfId="0" applyFont="1" applyFill="1" applyBorder="1" applyAlignment="1" applyProtection="1">
      <alignment horizontal="right"/>
      <protection hidden="1"/>
    </xf>
    <xf numFmtId="3" fontId="1" fillId="12" borderId="9" xfId="0" applyNumberFormat="1" applyFont="1" applyFill="1" applyBorder="1" applyProtection="1">
      <protection hidden="1"/>
    </xf>
    <xf numFmtId="3" fontId="1" fillId="12" borderId="91" xfId="0" applyNumberFormat="1" applyFont="1" applyFill="1" applyBorder="1" applyProtection="1">
      <protection hidden="1"/>
    </xf>
    <xf numFmtId="3" fontId="1" fillId="12" borderId="127" xfId="0" applyNumberFormat="1" applyFont="1" applyFill="1" applyBorder="1" applyProtection="1">
      <protection hidden="1"/>
    </xf>
    <xf numFmtId="3" fontId="1" fillId="12" borderId="132" xfId="0" applyNumberFormat="1" applyFont="1" applyFill="1" applyBorder="1" applyProtection="1">
      <protection hidden="1"/>
    </xf>
    <xf numFmtId="3" fontId="1" fillId="12" borderId="13" xfId="0" applyNumberFormat="1" applyFont="1" applyFill="1" applyBorder="1" applyProtection="1">
      <protection hidden="1"/>
    </xf>
    <xf numFmtId="0" fontId="1" fillId="12" borderId="47" xfId="0" applyFont="1" applyFill="1" applyBorder="1" applyAlignment="1" applyProtection="1">
      <alignment horizontal="right"/>
      <protection hidden="1"/>
    </xf>
    <xf numFmtId="3" fontId="1" fillId="12" borderId="163" xfId="0" applyNumberFormat="1" applyFont="1" applyFill="1" applyBorder="1" applyProtection="1">
      <protection hidden="1"/>
    </xf>
    <xf numFmtId="166" fontId="1" fillId="12" borderId="121" xfId="0" applyNumberFormat="1" applyFont="1" applyFill="1" applyBorder="1" applyProtection="1">
      <protection hidden="1"/>
    </xf>
    <xf numFmtId="166" fontId="1" fillId="12" borderId="1" xfId="0" applyNumberFormat="1" applyFont="1" applyFill="1" applyBorder="1" applyProtection="1">
      <protection hidden="1"/>
    </xf>
    <xf numFmtId="166" fontId="1" fillId="12" borderId="11" xfId="0" applyNumberFormat="1" applyFont="1" applyFill="1" applyBorder="1" applyProtection="1">
      <protection hidden="1"/>
    </xf>
    <xf numFmtId="3" fontId="1" fillId="12" borderId="140" xfId="0" applyNumberFormat="1" applyFont="1" applyFill="1" applyBorder="1" applyProtection="1">
      <protection hidden="1"/>
    </xf>
    <xf numFmtId="3" fontId="1" fillId="12" borderId="139" xfId="0" applyNumberFormat="1" applyFont="1" applyFill="1" applyBorder="1" applyProtection="1">
      <protection hidden="1"/>
    </xf>
    <xf numFmtId="3" fontId="1" fillId="12" borderId="141" xfId="0" applyNumberFormat="1" applyFont="1" applyFill="1" applyBorder="1" applyProtection="1">
      <protection hidden="1"/>
    </xf>
    <xf numFmtId="0" fontId="1" fillId="12" borderId="138" xfId="0" applyFont="1" applyFill="1" applyBorder="1" applyAlignment="1" applyProtection="1">
      <alignment horizontal="right"/>
      <protection hidden="1"/>
    </xf>
    <xf numFmtId="0" fontId="2" fillId="20" borderId="75" xfId="0" applyFont="1" applyFill="1" applyBorder="1" applyAlignment="1">
      <alignment horizontal="center"/>
    </xf>
    <xf numFmtId="0" fontId="2" fillId="20" borderId="76" xfId="0" applyFont="1" applyFill="1" applyBorder="1" applyAlignment="1">
      <alignment horizontal="center"/>
    </xf>
    <xf numFmtId="0" fontId="2" fillId="20" borderId="78" xfId="0" applyFont="1" applyFill="1" applyBorder="1" applyAlignment="1">
      <alignment horizontal="center"/>
    </xf>
    <xf numFmtId="0" fontId="2" fillId="20" borderId="77" xfId="0" applyFont="1" applyFill="1" applyBorder="1" applyAlignment="1">
      <alignment horizontal="center"/>
    </xf>
    <xf numFmtId="0" fontId="26" fillId="0" borderId="0" xfId="0" applyFont="1" applyAlignment="1">
      <alignment horizontal="justify" vertical="top" wrapText="1" shrinkToFit="1" readingOrder="2"/>
    </xf>
    <xf numFmtId="0" fontId="26" fillId="0" borderId="0" xfId="0" applyFont="1"/>
    <xf numFmtId="165" fontId="1" fillId="12" borderId="22" xfId="0" applyNumberFormat="1" applyFont="1" applyFill="1" applyBorder="1" applyProtection="1">
      <protection hidden="1"/>
    </xf>
    <xf numFmtId="165" fontId="1" fillId="12" borderId="40" xfId="0" applyNumberFormat="1" applyFont="1" applyFill="1" applyBorder="1" applyProtection="1">
      <protection hidden="1"/>
    </xf>
    <xf numFmtId="0" fontId="7" fillId="0" borderId="0" xfId="0" applyFont="1" applyAlignment="1">
      <alignment horizontal="justify" vertical="top" wrapText="1" shrinkToFit="1" readingOrder="2"/>
    </xf>
    <xf numFmtId="166" fontId="7" fillId="12" borderId="1" xfId="0" applyNumberFormat="1" applyFont="1" applyFill="1" applyBorder="1"/>
    <xf numFmtId="166" fontId="7" fillId="12" borderId="3" xfId="0" applyNumberFormat="1" applyFont="1" applyFill="1" applyBorder="1"/>
    <xf numFmtId="166" fontId="7" fillId="12" borderId="9" xfId="0" applyNumberFormat="1" applyFont="1" applyFill="1" applyBorder="1"/>
    <xf numFmtId="166" fontId="7" fillId="12" borderId="5" xfId="0" applyNumberFormat="1" applyFont="1" applyFill="1" applyBorder="1"/>
    <xf numFmtId="166" fontId="1" fillId="12" borderId="1" xfId="0" applyNumberFormat="1" applyFont="1" applyFill="1" applyBorder="1"/>
    <xf numFmtId="166" fontId="1" fillId="12" borderId="1" xfId="0" applyNumberFormat="1" applyFont="1" applyFill="1" applyBorder="1" applyAlignment="1">
      <alignment horizontal="right"/>
    </xf>
    <xf numFmtId="166" fontId="1" fillId="12" borderId="3" xfId="0" applyNumberFormat="1" applyFont="1" applyFill="1" applyBorder="1" applyAlignment="1">
      <alignment horizontal="right"/>
    </xf>
    <xf numFmtId="166" fontId="1" fillId="12" borderId="9" xfId="0" applyNumberFormat="1" applyFont="1" applyFill="1" applyBorder="1"/>
    <xf numFmtId="166" fontId="1" fillId="12" borderId="9" xfId="0" applyNumberFormat="1" applyFont="1" applyFill="1" applyBorder="1" applyAlignment="1">
      <alignment horizontal="right"/>
    </xf>
    <xf numFmtId="166" fontId="1" fillId="12" borderId="5" xfId="0" applyNumberFormat="1" applyFont="1" applyFill="1" applyBorder="1" applyAlignment="1">
      <alignment horizontal="right"/>
    </xf>
    <xf numFmtId="0" fontId="13" fillId="12" borderId="54" xfId="0" applyFont="1" applyFill="1" applyBorder="1" applyProtection="1">
      <protection hidden="1"/>
    </xf>
    <xf numFmtId="0" fontId="23" fillId="12" borderId="54" xfId="0" applyFont="1" applyFill="1" applyBorder="1" applyProtection="1">
      <protection hidden="1"/>
    </xf>
    <xf numFmtId="0" fontId="13" fillId="12" borderId="63" xfId="0" applyFont="1" applyFill="1" applyBorder="1" applyProtection="1">
      <protection hidden="1"/>
    </xf>
    <xf numFmtId="0" fontId="13" fillId="12" borderId="56" xfId="0" applyFont="1" applyFill="1" applyBorder="1" applyProtection="1">
      <protection hidden="1"/>
    </xf>
    <xf numFmtId="0" fontId="28" fillId="0" borderId="0" xfId="0" applyFont="1" applyBorder="1"/>
    <xf numFmtId="3" fontId="28" fillId="0" borderId="0" xfId="0" applyNumberFormat="1" applyFont="1" applyBorder="1" applyAlignment="1">
      <alignment horizontal="center"/>
    </xf>
    <xf numFmtId="0" fontId="14" fillId="5" borderId="0" xfId="0" applyFont="1" applyFill="1" applyProtection="1">
      <protection hidden="1"/>
    </xf>
    <xf numFmtId="0" fontId="1" fillId="2" borderId="10" xfId="0" applyFont="1" applyFill="1" applyBorder="1" applyAlignment="1" applyProtection="1">
      <alignment horizontal="right"/>
      <protection locked="0"/>
    </xf>
    <xf numFmtId="0" fontId="1" fillId="2" borderId="23" xfId="0" applyFont="1" applyFill="1" applyBorder="1" applyAlignment="1" applyProtection="1">
      <alignment horizontal="right"/>
      <protection locked="0"/>
    </xf>
    <xf numFmtId="0" fontId="1" fillId="2" borderId="12" xfId="0" applyFont="1" applyFill="1" applyBorder="1" applyAlignment="1" applyProtection="1">
      <alignment horizontal="right"/>
      <protection locked="0"/>
    </xf>
    <xf numFmtId="0" fontId="1" fillId="11" borderId="10" xfId="0" applyFont="1" applyFill="1" applyBorder="1" applyAlignment="1" applyProtection="1">
      <alignment horizontal="right"/>
      <protection locked="0"/>
    </xf>
    <xf numFmtId="3" fontId="19" fillId="2" borderId="40" xfId="0" applyNumberFormat="1" applyFont="1" applyFill="1" applyBorder="1" applyProtection="1">
      <protection locked="0"/>
    </xf>
    <xf numFmtId="3" fontId="19" fillId="2" borderId="41" xfId="0" applyNumberFormat="1" applyFont="1" applyFill="1" applyBorder="1" applyProtection="1">
      <protection locked="0"/>
    </xf>
    <xf numFmtId="0" fontId="46" fillId="2" borderId="39" xfId="0" applyFont="1" applyFill="1" applyBorder="1" applyProtection="1">
      <protection locked="0"/>
    </xf>
    <xf numFmtId="0" fontId="46" fillId="2" borderId="40" xfId="0" applyFont="1" applyFill="1" applyBorder="1" applyProtection="1">
      <protection locked="0"/>
    </xf>
    <xf numFmtId="0" fontId="46" fillId="2" borderId="92" xfId="0" applyFont="1" applyFill="1" applyBorder="1" applyProtection="1">
      <protection locked="0"/>
    </xf>
    <xf numFmtId="0" fontId="46" fillId="2" borderId="91" xfId="0" applyFont="1" applyFill="1" applyBorder="1" applyProtection="1">
      <protection locked="0"/>
    </xf>
    <xf numFmtId="0" fontId="3" fillId="11" borderId="15" xfId="0" applyFont="1" applyFill="1" applyBorder="1" applyAlignment="1" applyProtection="1">
      <alignment horizontal="right"/>
      <protection hidden="1"/>
    </xf>
    <xf numFmtId="3" fontId="9" fillId="12" borderId="36" xfId="0" applyNumberFormat="1" applyFont="1" applyFill="1" applyBorder="1" applyProtection="1">
      <protection locked="0"/>
    </xf>
    <xf numFmtId="3" fontId="9" fillId="12" borderId="1" xfId="0" applyNumberFormat="1" applyFont="1" applyFill="1" applyBorder="1" applyProtection="1">
      <protection locked="0"/>
    </xf>
    <xf numFmtId="3" fontId="9" fillId="12" borderId="11" xfId="0" applyNumberFormat="1" applyFont="1" applyFill="1" applyBorder="1" applyProtection="1">
      <protection locked="0"/>
    </xf>
    <xf numFmtId="3" fontId="1" fillId="2" borderId="128" xfId="0" applyNumberFormat="1" applyFont="1" applyFill="1" applyBorder="1" applyProtection="1">
      <protection locked="0"/>
    </xf>
    <xf numFmtId="3" fontId="3" fillId="2" borderId="129" xfId="0" applyNumberFormat="1" applyFont="1" applyFill="1" applyBorder="1" applyProtection="1">
      <protection locked="0"/>
    </xf>
    <xf numFmtId="0" fontId="3" fillId="11" borderId="146" xfId="0" applyFont="1" applyFill="1" applyBorder="1" applyAlignment="1" applyProtection="1">
      <alignment horizontal="right"/>
      <protection hidden="1"/>
    </xf>
    <xf numFmtId="3" fontId="1" fillId="12" borderId="35" xfId="0" applyNumberFormat="1" applyFont="1" applyFill="1" applyBorder="1" applyProtection="1">
      <protection hidden="1"/>
    </xf>
    <xf numFmtId="3" fontId="1" fillId="2" borderId="42" xfId="0" applyNumberFormat="1" applyFont="1" applyFill="1" applyBorder="1" applyProtection="1">
      <protection locked="0"/>
    </xf>
    <xf numFmtId="3" fontId="1" fillId="2" borderId="9" xfId="0" applyNumberFormat="1" applyFont="1" applyFill="1" applyBorder="1" applyProtection="1">
      <protection locked="0"/>
    </xf>
    <xf numFmtId="3" fontId="1" fillId="2" borderId="13" xfId="0" applyNumberFormat="1" applyFont="1" applyFill="1" applyBorder="1" applyProtection="1">
      <protection locked="0"/>
    </xf>
    <xf numFmtId="0" fontId="1" fillId="2" borderId="145" xfId="0" applyFont="1" applyFill="1" applyBorder="1" applyAlignment="1">
      <alignment horizontal="right"/>
    </xf>
    <xf numFmtId="3" fontId="1" fillId="2" borderId="35" xfId="0" applyNumberFormat="1" applyFont="1" applyFill="1" applyBorder="1" applyProtection="1">
      <protection locked="0"/>
    </xf>
    <xf numFmtId="3" fontId="1" fillId="2" borderId="22" xfId="0" applyNumberFormat="1" applyFont="1" applyFill="1" applyBorder="1" applyProtection="1">
      <protection locked="0"/>
    </xf>
    <xf numFmtId="3" fontId="1" fillId="2" borderId="24" xfId="0" applyNumberFormat="1" applyFont="1" applyFill="1" applyBorder="1" applyProtection="1">
      <protection locked="0"/>
    </xf>
    <xf numFmtId="164" fontId="1" fillId="2" borderId="37" xfId="1" applyNumberFormat="1" applyFont="1" applyFill="1" applyBorder="1" applyProtection="1">
      <protection locked="0"/>
    </xf>
    <xf numFmtId="164" fontId="1" fillId="2" borderId="16" xfId="1" applyNumberFormat="1" applyFont="1" applyFill="1" applyBorder="1" applyProtection="1">
      <protection locked="0"/>
    </xf>
    <xf numFmtId="164" fontId="1" fillId="2" borderId="17" xfId="1" applyNumberFormat="1" applyFont="1" applyFill="1" applyBorder="1" applyProtection="1">
      <protection locked="0"/>
    </xf>
    <xf numFmtId="3" fontId="1" fillId="12" borderId="42" xfId="0" applyNumberFormat="1" applyFont="1" applyFill="1" applyBorder="1" applyProtection="1">
      <protection hidden="1"/>
    </xf>
    <xf numFmtId="3" fontId="3" fillId="12" borderId="72" xfId="0" applyNumberFormat="1" applyFont="1" applyFill="1" applyBorder="1" applyProtection="1">
      <protection hidden="1"/>
    </xf>
    <xf numFmtId="0" fontId="26" fillId="0" borderId="14" xfId="0" applyFont="1" applyBorder="1" applyAlignment="1">
      <alignment vertical="top" wrapText="1" shrinkToFit="1" readingOrder="2"/>
    </xf>
    <xf numFmtId="0" fontId="26" fillId="0" borderId="0" xfId="0" applyFont="1" applyAlignment="1">
      <alignment vertical="top" wrapText="1" shrinkToFit="1" readingOrder="2"/>
    </xf>
    <xf numFmtId="0" fontId="43" fillId="7" borderId="0" xfId="0" applyFont="1" applyFill="1" applyBorder="1" applyAlignment="1" applyProtection="1">
      <alignment vertical="center"/>
      <protection hidden="1"/>
    </xf>
    <xf numFmtId="0" fontId="43" fillId="7" borderId="18" xfId="0" applyFont="1" applyFill="1" applyBorder="1" applyAlignment="1" applyProtection="1">
      <alignment vertical="center"/>
      <protection hidden="1"/>
    </xf>
    <xf numFmtId="0" fontId="46" fillId="5" borderId="0" xfId="0" applyFont="1" applyFill="1" applyProtection="1">
      <protection hidden="1"/>
    </xf>
    <xf numFmtId="0" fontId="50" fillId="5" borderId="0" xfId="0" applyFont="1" applyFill="1" applyProtection="1">
      <protection hidden="1"/>
    </xf>
    <xf numFmtId="3" fontId="3" fillId="12" borderId="37" xfId="0" applyNumberFormat="1" applyFont="1" applyFill="1" applyBorder="1" applyProtection="1">
      <protection hidden="1"/>
    </xf>
    <xf numFmtId="3" fontId="3" fillId="12" borderId="16" xfId="0" applyNumberFormat="1" applyFont="1" applyFill="1" applyBorder="1" applyProtection="1">
      <protection hidden="1"/>
    </xf>
    <xf numFmtId="3" fontId="16" fillId="12" borderId="17" xfId="0" applyNumberFormat="1" applyFont="1" applyFill="1" applyBorder="1" applyProtection="1">
      <protection hidden="1"/>
    </xf>
    <xf numFmtId="3" fontId="3" fillId="12" borderId="17" xfId="0" applyNumberFormat="1" applyFont="1" applyFill="1" applyBorder="1" applyProtection="1">
      <protection hidden="1"/>
    </xf>
    <xf numFmtId="0" fontId="3" fillId="11" borderId="54" xfId="0" applyFont="1" applyFill="1" applyBorder="1" applyAlignment="1">
      <alignment horizontal="right"/>
    </xf>
    <xf numFmtId="0" fontId="3" fillId="11" borderId="51" xfId="0" applyFont="1" applyFill="1" applyBorder="1" applyAlignment="1">
      <alignment horizontal="right"/>
    </xf>
    <xf numFmtId="0" fontId="2" fillId="11" borderId="79" xfId="0" applyFont="1" applyFill="1" applyBorder="1" applyAlignment="1">
      <alignment horizontal="right"/>
    </xf>
    <xf numFmtId="0" fontId="3" fillId="11" borderId="60" xfId="0" applyFont="1" applyFill="1" applyBorder="1" applyAlignment="1">
      <alignment horizontal="right"/>
    </xf>
    <xf numFmtId="0" fontId="13" fillId="11" borderId="56" xfId="0" applyFont="1" applyFill="1" applyBorder="1" applyAlignment="1">
      <alignment horizontal="right"/>
    </xf>
    <xf numFmtId="0" fontId="13" fillId="11" borderId="63" xfId="0" applyFont="1" applyFill="1" applyBorder="1" applyAlignment="1">
      <alignment horizontal="right"/>
    </xf>
    <xf numFmtId="3" fontId="7" fillId="12" borderId="171" xfId="0" applyNumberFormat="1" applyFont="1" applyFill="1" applyBorder="1" applyAlignment="1" applyProtection="1">
      <alignment wrapText="1"/>
      <protection hidden="1"/>
    </xf>
    <xf numFmtId="0" fontId="29" fillId="14" borderId="172" xfId="0" applyFont="1" applyFill="1" applyBorder="1" applyAlignment="1" applyProtection="1">
      <alignment vertical="center" wrapText="1"/>
      <protection hidden="1"/>
    </xf>
    <xf numFmtId="0" fontId="53" fillId="2" borderId="10" xfId="0" applyFont="1" applyFill="1" applyBorder="1" applyAlignment="1" applyProtection="1">
      <alignment horizontal="right"/>
    </xf>
    <xf numFmtId="0" fontId="53" fillId="11" borderId="10" xfId="0" applyFont="1" applyFill="1" applyBorder="1" applyAlignment="1" applyProtection="1">
      <alignment horizontal="right"/>
      <protection hidden="1"/>
    </xf>
    <xf numFmtId="0" fontId="53" fillId="2" borderId="10" xfId="0" applyFont="1" applyFill="1" applyBorder="1" applyAlignment="1" applyProtection="1">
      <alignment horizontal="right"/>
      <protection hidden="1"/>
    </xf>
    <xf numFmtId="3" fontId="54" fillId="2" borderId="40" xfId="0" applyNumberFormat="1" applyFont="1" applyFill="1" applyBorder="1" applyProtection="1"/>
    <xf numFmtId="3" fontId="53" fillId="2" borderId="128" xfId="0" applyNumberFormat="1" applyFont="1" applyFill="1" applyBorder="1" applyProtection="1">
      <protection hidden="1"/>
    </xf>
    <xf numFmtId="0" fontId="1" fillId="2" borderId="40" xfId="0" applyFont="1" applyFill="1" applyBorder="1" applyProtection="1">
      <protection locked="0" hidden="1"/>
    </xf>
    <xf numFmtId="0" fontId="1" fillId="12" borderId="41" xfId="0" applyFont="1" applyFill="1" applyBorder="1" applyProtection="1">
      <protection locked="0" hidden="1"/>
    </xf>
    <xf numFmtId="0" fontId="1" fillId="12" borderId="37" xfId="0" applyFont="1" applyFill="1" applyBorder="1" applyProtection="1">
      <protection locked="0"/>
    </xf>
    <xf numFmtId="0" fontId="1" fillId="2" borderId="36" xfId="0" applyFont="1" applyFill="1" applyBorder="1" applyProtection="1">
      <protection locked="0"/>
    </xf>
    <xf numFmtId="0" fontId="31" fillId="18" borderId="33" xfId="0" applyFont="1" applyFill="1" applyBorder="1" applyAlignment="1" applyProtection="1">
      <alignment horizontal="center" vertical="center"/>
      <protection hidden="1"/>
    </xf>
    <xf numFmtId="0" fontId="7" fillId="7" borderId="0" xfId="0" applyFont="1" applyFill="1" applyBorder="1"/>
    <xf numFmtId="0" fontId="7" fillId="4" borderId="0" xfId="0" applyFont="1" applyFill="1" applyBorder="1"/>
    <xf numFmtId="0" fontId="35" fillId="16" borderId="81" xfId="0" applyFont="1" applyFill="1" applyBorder="1" applyAlignment="1">
      <alignment horizontal="right" wrapText="1"/>
    </xf>
    <xf numFmtId="0" fontId="52" fillId="7" borderId="116" xfId="0" applyFont="1" applyFill="1" applyBorder="1"/>
    <xf numFmtId="0" fontId="7" fillId="7" borderId="116" xfId="0" applyFont="1" applyFill="1" applyBorder="1"/>
    <xf numFmtId="0" fontId="7" fillId="4" borderId="116" xfId="0" applyFont="1" applyFill="1" applyBorder="1"/>
    <xf numFmtId="0" fontId="7" fillId="4" borderId="130" xfId="0" applyFont="1" applyFill="1" applyBorder="1"/>
    <xf numFmtId="0" fontId="7" fillId="7" borderId="14" xfId="0" applyFont="1" applyFill="1" applyBorder="1"/>
    <xf numFmtId="0" fontId="7" fillId="4" borderId="86" xfId="0" applyFont="1" applyFill="1" applyBorder="1"/>
    <xf numFmtId="0" fontId="7" fillId="4" borderId="14" xfId="0" applyFont="1" applyFill="1" applyBorder="1"/>
    <xf numFmtId="0" fontId="53" fillId="2" borderId="40" xfId="0" applyFont="1" applyFill="1" applyBorder="1" applyProtection="1">
      <protection hidden="1"/>
    </xf>
    <xf numFmtId="0" fontId="1" fillId="2" borderId="23" xfId="0" applyFont="1" applyFill="1" applyBorder="1" applyAlignment="1" applyProtection="1">
      <alignment horizontal="right" vertical="center"/>
      <protection locked="0"/>
    </xf>
    <xf numFmtId="0" fontId="1" fillId="2" borderId="15" xfId="0" applyFont="1" applyFill="1" applyBorder="1" applyAlignment="1" applyProtection="1">
      <alignment horizontal="right"/>
      <protection locked="0"/>
    </xf>
    <xf numFmtId="3" fontId="13" fillId="2" borderId="37" xfId="0" applyNumberFormat="1" applyFont="1" applyFill="1" applyBorder="1" applyProtection="1">
      <protection locked="0"/>
    </xf>
    <xf numFmtId="3" fontId="13" fillId="2" borderId="16" xfId="0" applyNumberFormat="1" applyFont="1" applyFill="1" applyBorder="1" applyProtection="1">
      <protection locked="0"/>
    </xf>
    <xf numFmtId="3" fontId="13" fillId="2" borderId="17" xfId="0" applyNumberFormat="1" applyFont="1" applyFill="1" applyBorder="1" applyProtection="1">
      <protection locked="0"/>
    </xf>
    <xf numFmtId="0" fontId="46" fillId="2" borderId="39" xfId="0" applyFont="1" applyFill="1" applyBorder="1" applyAlignment="1" applyProtection="1">
      <alignment vertical="center"/>
      <protection locked="0" hidden="1"/>
    </xf>
    <xf numFmtId="0" fontId="46" fillId="2" borderId="40" xfId="0" applyFont="1" applyFill="1" applyBorder="1" applyProtection="1">
      <protection locked="0" hidden="1"/>
    </xf>
    <xf numFmtId="0" fontId="46" fillId="2" borderId="41" xfId="0" applyFont="1" applyFill="1" applyBorder="1" applyProtection="1">
      <protection locked="0" hidden="1"/>
    </xf>
    <xf numFmtId="0" fontId="58" fillId="4" borderId="0" xfId="0" applyFont="1" applyFill="1" applyProtection="1">
      <protection hidden="1"/>
    </xf>
    <xf numFmtId="3" fontId="1" fillId="12" borderId="178" xfId="0" applyNumberFormat="1" applyFont="1" applyFill="1" applyBorder="1" applyProtection="1">
      <protection hidden="1"/>
    </xf>
    <xf numFmtId="3" fontId="1" fillId="12" borderId="103" xfId="0" applyNumberFormat="1" applyFont="1" applyFill="1" applyBorder="1" applyProtection="1">
      <protection hidden="1"/>
    </xf>
    <xf numFmtId="3" fontId="1" fillId="12" borderId="102" xfId="0" applyNumberFormat="1" applyFont="1" applyFill="1" applyBorder="1" applyProtection="1">
      <protection hidden="1"/>
    </xf>
    <xf numFmtId="164" fontId="13" fillId="12" borderId="179" xfId="1" applyNumberFormat="1" applyFont="1" applyFill="1" applyBorder="1" applyProtection="1">
      <protection hidden="1"/>
    </xf>
    <xf numFmtId="0" fontId="14" fillId="13" borderId="0" xfId="0" applyFont="1" applyFill="1" applyProtection="1">
      <protection hidden="1"/>
    </xf>
    <xf numFmtId="0" fontId="13" fillId="12" borderId="51" xfId="0" applyFont="1" applyFill="1" applyBorder="1" applyProtection="1">
      <protection hidden="1"/>
    </xf>
    <xf numFmtId="0" fontId="1" fillId="5" borderId="0" xfId="0" applyFont="1" applyFill="1" applyBorder="1" applyAlignment="1" applyProtection="1">
      <alignment horizontal="right"/>
      <protection hidden="1"/>
    </xf>
    <xf numFmtId="0" fontId="7" fillId="0" borderId="0" xfId="0" applyFont="1" applyBorder="1" applyAlignment="1">
      <alignment horizontal="center" wrapText="1"/>
    </xf>
    <xf numFmtId="0" fontId="22" fillId="0" borderId="0" xfId="0" applyFont="1"/>
    <xf numFmtId="0" fontId="1" fillId="0" borderId="0" xfId="0" applyFont="1"/>
    <xf numFmtId="0" fontId="1" fillId="5" borderId="0" xfId="0" applyFont="1" applyFill="1" applyAlignment="1" applyProtection="1">
      <alignment horizontal="center" wrapText="1"/>
      <protection hidden="1"/>
    </xf>
    <xf numFmtId="0" fontId="1" fillId="2" borderId="66" xfId="0" applyFont="1" applyFill="1" applyBorder="1" applyAlignment="1" applyProtection="1">
      <alignment wrapText="1"/>
      <protection locked="0"/>
    </xf>
    <xf numFmtId="0" fontId="1" fillId="2" borderId="66" xfId="0" applyFont="1" applyFill="1" applyBorder="1" applyProtection="1">
      <protection locked="0"/>
    </xf>
    <xf numFmtId="3" fontId="1" fillId="2" borderId="66" xfId="0" applyNumberFormat="1" applyFont="1" applyFill="1" applyBorder="1" applyProtection="1">
      <protection locked="0"/>
    </xf>
    <xf numFmtId="0" fontId="1" fillId="2" borderId="66" xfId="0" applyFont="1" applyFill="1" applyBorder="1" applyAlignment="1" applyProtection="1">
      <alignment wrapText="1"/>
      <protection locked="0" hidden="1"/>
    </xf>
    <xf numFmtId="0" fontId="1" fillId="2" borderId="66" xfId="0" applyFont="1" applyFill="1" applyBorder="1" applyProtection="1">
      <protection locked="0" hidden="1"/>
    </xf>
    <xf numFmtId="0" fontId="31" fillId="14" borderId="66" xfId="0" applyFont="1" applyFill="1" applyBorder="1" applyAlignment="1" applyProtection="1">
      <alignment horizontal="center" vertical="center" wrapText="1"/>
      <protection hidden="1"/>
    </xf>
    <xf numFmtId="0" fontId="2" fillId="22" borderId="66" xfId="0" applyFont="1" applyFill="1" applyBorder="1" applyAlignment="1" applyProtection="1">
      <alignment horizontal="center" vertical="center" wrapText="1"/>
      <protection hidden="1"/>
    </xf>
    <xf numFmtId="0" fontId="1" fillId="22" borderId="66" xfId="0" applyFont="1" applyFill="1" applyBorder="1" applyAlignment="1" applyProtection="1">
      <alignment horizontal="center" vertical="center" wrapText="1"/>
      <protection hidden="1"/>
    </xf>
    <xf numFmtId="0" fontId="5" fillId="0" borderId="0" xfId="0" applyFont="1"/>
    <xf numFmtId="49" fontId="44" fillId="2" borderId="10" xfId="0" applyNumberFormat="1" applyFont="1" applyFill="1" applyBorder="1" applyProtection="1">
      <protection hidden="1"/>
    </xf>
    <xf numFmtId="49" fontId="44" fillId="2" borderId="15" xfId="0" applyNumberFormat="1" applyFont="1" applyFill="1" applyBorder="1" applyProtection="1">
      <protection hidden="1"/>
    </xf>
    <xf numFmtId="49" fontId="44" fillId="2" borderId="17" xfId="0" applyNumberFormat="1" applyFont="1" applyFill="1" applyBorder="1" applyProtection="1">
      <protection hidden="1"/>
    </xf>
    <xf numFmtId="49" fontId="1" fillId="2" borderId="102" xfId="0" applyNumberFormat="1" applyFont="1" applyFill="1" applyBorder="1" applyProtection="1">
      <protection locked="0"/>
    </xf>
    <xf numFmtId="49" fontId="44" fillId="2" borderId="11" xfId="0" applyNumberFormat="1" applyFont="1" applyFill="1" applyBorder="1" applyProtection="1">
      <protection hidden="1"/>
    </xf>
    <xf numFmtId="49" fontId="1" fillId="2" borderId="103" xfId="0" applyNumberFormat="1" applyFont="1" applyFill="1" applyBorder="1" applyProtection="1">
      <protection locked="0"/>
    </xf>
    <xf numFmtId="49" fontId="0" fillId="0" borderId="0" xfId="0" applyNumberFormat="1"/>
    <xf numFmtId="3" fontId="19" fillId="0" borderId="66" xfId="0" applyNumberFormat="1" applyFont="1" applyBorder="1"/>
    <xf numFmtId="3" fontId="19" fillId="0" borderId="0" xfId="0" applyNumberFormat="1" applyFont="1" applyBorder="1"/>
    <xf numFmtId="0" fontId="0" fillId="0" borderId="0" xfId="0" applyFill="1"/>
    <xf numFmtId="0" fontId="1" fillId="12" borderId="66" xfId="0" applyFont="1" applyFill="1" applyBorder="1"/>
    <xf numFmtId="0" fontId="1" fillId="12" borderId="181" xfId="0" applyFont="1" applyFill="1" applyBorder="1"/>
    <xf numFmtId="0" fontId="2" fillId="3" borderId="66" xfId="0" applyFont="1" applyFill="1" applyBorder="1" applyAlignment="1" applyProtection="1">
      <alignment horizontal="center" vertical="center" wrapText="1"/>
      <protection hidden="1"/>
    </xf>
    <xf numFmtId="0" fontId="1" fillId="3" borderId="66" xfId="0" applyFont="1" applyFill="1" applyBorder="1" applyAlignment="1" applyProtection="1">
      <alignment horizontal="center" vertical="center" wrapText="1"/>
      <protection hidden="1"/>
    </xf>
    <xf numFmtId="0" fontId="2" fillId="12" borderId="66" xfId="0" applyFont="1" applyFill="1" applyBorder="1" applyAlignment="1" applyProtection="1">
      <alignment horizontal="center" vertical="center" wrapText="1"/>
      <protection hidden="1"/>
    </xf>
    <xf numFmtId="0" fontId="1" fillId="12" borderId="66" xfId="0" applyFont="1" applyFill="1" applyBorder="1" applyAlignment="1" applyProtection="1">
      <alignment horizontal="center" vertical="center" wrapText="1"/>
      <protection hidden="1"/>
    </xf>
    <xf numFmtId="0" fontId="1" fillId="2" borderId="66" xfId="0" applyFont="1" applyFill="1" applyBorder="1" applyAlignment="1" applyProtection="1">
      <alignment horizontal="right"/>
      <protection locked="0" hidden="1"/>
    </xf>
    <xf numFmtId="0" fontId="39" fillId="0" borderId="0" xfId="0" applyFont="1" applyBorder="1" applyAlignment="1">
      <alignment horizontal="left" wrapText="1"/>
    </xf>
    <xf numFmtId="164" fontId="13" fillId="2" borderId="1" xfId="0" applyNumberFormat="1" applyFont="1" applyFill="1" applyBorder="1" applyProtection="1"/>
    <xf numFmtId="164" fontId="13" fillId="2" borderId="89" xfId="0" applyNumberFormat="1" applyFont="1" applyFill="1" applyBorder="1" applyProtection="1"/>
    <xf numFmtId="164" fontId="13" fillId="2" borderId="11" xfId="0" applyNumberFormat="1" applyFont="1" applyFill="1" applyBorder="1" applyProtection="1"/>
    <xf numFmtId="164" fontId="1" fillId="12" borderId="66" xfId="0" applyNumberFormat="1" applyFont="1" applyFill="1" applyBorder="1" applyAlignment="1" applyProtection="1">
      <alignment horizontal="center"/>
      <protection hidden="1"/>
    </xf>
    <xf numFmtId="3" fontId="1" fillId="12" borderId="66" xfId="0" applyNumberFormat="1" applyFont="1" applyFill="1" applyBorder="1" applyProtection="1">
      <protection hidden="1"/>
    </xf>
    <xf numFmtId="0" fontId="0" fillId="2" borderId="0" xfId="0" applyFill="1" applyBorder="1"/>
    <xf numFmtId="0" fontId="0" fillId="2" borderId="180" xfId="0" applyFill="1" applyBorder="1"/>
    <xf numFmtId="0" fontId="19" fillId="2" borderId="66" xfId="0" applyFont="1" applyFill="1" applyBorder="1"/>
    <xf numFmtId="3" fontId="19" fillId="2" borderId="66" xfId="0" applyNumberFormat="1" applyFont="1" applyFill="1" applyBorder="1"/>
    <xf numFmtId="3" fontId="19" fillId="2" borderId="0" xfId="0" applyNumberFormat="1" applyFont="1" applyFill="1" applyBorder="1"/>
    <xf numFmtId="3" fontId="19" fillId="2" borderId="180" xfId="0" applyNumberFormat="1" applyFont="1" applyFill="1" applyBorder="1"/>
    <xf numFmtId="0" fontId="0" fillId="2" borderId="0" xfId="0" applyFill="1"/>
    <xf numFmtId="0" fontId="19" fillId="2" borderId="181" xfId="0" applyFont="1" applyFill="1" applyBorder="1"/>
    <xf numFmtId="3" fontId="19" fillId="2" borderId="181" xfId="0" applyNumberFormat="1" applyFont="1" applyFill="1" applyBorder="1"/>
    <xf numFmtId="0" fontId="55" fillId="2" borderId="180" xfId="0" applyFont="1" applyFill="1" applyBorder="1"/>
    <xf numFmtId="0" fontId="60" fillId="2" borderId="0" xfId="0" applyFont="1" applyFill="1"/>
    <xf numFmtId="0" fontId="49" fillId="2" borderId="0" xfId="0" applyFont="1" applyFill="1" applyAlignment="1"/>
    <xf numFmtId="0" fontId="49" fillId="2" borderId="0" xfId="0" applyFont="1" applyFill="1" applyAlignment="1">
      <alignment horizontal="center"/>
    </xf>
    <xf numFmtId="0" fontId="19" fillId="2" borderId="0" xfId="0" applyFont="1" applyFill="1" applyBorder="1"/>
    <xf numFmtId="0" fontId="15" fillId="4" borderId="0" xfId="0" applyFont="1" applyFill="1" applyAlignment="1" applyProtection="1">
      <alignment horizontal="justify" wrapText="1"/>
      <protection hidden="1"/>
    </xf>
    <xf numFmtId="0" fontId="62" fillId="0" borderId="66" xfId="0" applyFont="1" applyBorder="1"/>
    <xf numFmtId="3" fontId="62" fillId="0" borderId="66" xfId="0" applyNumberFormat="1" applyFont="1" applyBorder="1" applyAlignment="1">
      <alignment horizontal="center"/>
    </xf>
    <xf numFmtId="0" fontId="28" fillId="2" borderId="66" xfId="0" applyFont="1" applyFill="1" applyBorder="1" applyAlignment="1" applyProtection="1">
      <alignment horizontal="right"/>
      <protection locked="0"/>
    </xf>
    <xf numFmtId="0" fontId="1" fillId="12" borderId="185" xfId="0" applyFont="1" applyFill="1" applyBorder="1" applyProtection="1">
      <protection hidden="1"/>
    </xf>
    <xf numFmtId="0" fontId="1" fillId="12" borderId="66" xfId="0" applyFont="1" applyFill="1" applyBorder="1" applyProtection="1">
      <protection hidden="1"/>
    </xf>
    <xf numFmtId="0" fontId="3" fillId="12" borderId="66" xfId="0" applyFont="1" applyFill="1" applyBorder="1" applyProtection="1">
      <protection hidden="1"/>
    </xf>
    <xf numFmtId="0" fontId="1" fillId="12" borderId="185" xfId="0" applyFont="1" applyFill="1" applyBorder="1" applyAlignment="1" applyProtection="1">
      <alignment horizontal="center" wrapText="1"/>
      <protection hidden="1"/>
    </xf>
    <xf numFmtId="9" fontId="1" fillId="12" borderId="66" xfId="1" applyFont="1" applyFill="1" applyBorder="1" applyProtection="1">
      <protection hidden="1"/>
    </xf>
    <xf numFmtId="0" fontId="43" fillId="7" borderId="0" xfId="0" applyFont="1" applyFill="1" applyBorder="1" applyAlignment="1" applyProtection="1">
      <alignment horizontal="center" vertical="center"/>
      <protection hidden="1"/>
    </xf>
    <xf numFmtId="0" fontId="29" fillId="18" borderId="51" xfId="0" applyFont="1" applyFill="1" applyBorder="1" applyAlignment="1" applyProtection="1">
      <alignment horizontal="center"/>
      <protection hidden="1"/>
    </xf>
    <xf numFmtId="0" fontId="29" fillId="18" borderId="52" xfId="0" applyFont="1" applyFill="1" applyBorder="1" applyAlignment="1" applyProtection="1">
      <alignment horizontal="center"/>
      <protection hidden="1"/>
    </xf>
    <xf numFmtId="0" fontId="29" fillId="18" borderId="53" xfId="0" applyFont="1" applyFill="1" applyBorder="1" applyAlignment="1" applyProtection="1">
      <alignment horizontal="center"/>
      <protection hidden="1"/>
    </xf>
    <xf numFmtId="49" fontId="7" fillId="2" borderId="50" xfId="0" applyNumberFormat="1" applyFont="1" applyFill="1" applyBorder="1" applyAlignment="1" applyProtection="1">
      <alignment horizontal="center"/>
      <protection locked="0"/>
    </xf>
    <xf numFmtId="49" fontId="7" fillId="2" borderId="55" xfId="0" applyNumberFormat="1" applyFont="1" applyFill="1" applyBorder="1" applyAlignment="1" applyProtection="1">
      <alignment horizontal="center"/>
      <protection locked="0"/>
    </xf>
    <xf numFmtId="0" fontId="36" fillId="2" borderId="57" xfId="0" applyFont="1" applyFill="1" applyBorder="1" applyAlignment="1" applyProtection="1">
      <alignment horizontal="center"/>
      <protection locked="0"/>
    </xf>
    <xf numFmtId="0" fontId="36" fillId="2" borderId="58" xfId="0" applyFont="1" applyFill="1" applyBorder="1" applyAlignment="1" applyProtection="1">
      <alignment horizontal="center"/>
      <protection locked="0"/>
    </xf>
    <xf numFmtId="0" fontId="29" fillId="18" borderId="25" xfId="0" applyFont="1" applyFill="1" applyBorder="1" applyAlignment="1" applyProtection="1">
      <alignment horizontal="center"/>
      <protection hidden="1"/>
    </xf>
    <xf numFmtId="0" fontId="29" fillId="18" borderId="26" xfId="0" applyFont="1" applyFill="1" applyBorder="1" applyAlignment="1" applyProtection="1">
      <alignment horizontal="center"/>
      <protection hidden="1"/>
    </xf>
    <xf numFmtId="0" fontId="29" fillId="18" borderId="27" xfId="0" applyFont="1" applyFill="1" applyBorder="1" applyAlignment="1" applyProtection="1">
      <alignment horizontal="center"/>
      <protection hidden="1"/>
    </xf>
    <xf numFmtId="0" fontId="29" fillId="18" borderId="75" xfId="0" applyFont="1" applyFill="1" applyBorder="1" applyAlignment="1" applyProtection="1">
      <alignment horizontal="center"/>
      <protection hidden="1"/>
    </xf>
    <xf numFmtId="0" fontId="29" fillId="18" borderId="76" xfId="0" applyFont="1" applyFill="1" applyBorder="1" applyAlignment="1" applyProtection="1">
      <alignment horizontal="center"/>
      <protection hidden="1"/>
    </xf>
    <xf numFmtId="0" fontId="29" fillId="18" borderId="78" xfId="0" applyFont="1" applyFill="1" applyBorder="1" applyAlignment="1" applyProtection="1">
      <alignment horizontal="center"/>
      <protection hidden="1"/>
    </xf>
    <xf numFmtId="49" fontId="1" fillId="2" borderId="52" xfId="0" applyNumberFormat="1" applyFont="1" applyFill="1" applyBorder="1" applyAlignment="1" applyProtection="1">
      <alignment horizontal="center"/>
      <protection locked="0"/>
    </xf>
    <xf numFmtId="49" fontId="1" fillId="2" borderId="53" xfId="0" applyNumberFormat="1" applyFont="1" applyFill="1" applyBorder="1" applyAlignment="1" applyProtection="1">
      <alignment horizontal="center"/>
      <protection locked="0"/>
    </xf>
    <xf numFmtId="0" fontId="1" fillId="2" borderId="50" xfId="0" applyFont="1" applyFill="1" applyBorder="1" applyAlignment="1" applyProtection="1">
      <alignment horizontal="center"/>
      <protection locked="0"/>
    </xf>
    <xf numFmtId="0" fontId="1" fillId="2" borderId="55" xfId="0" applyFont="1" applyFill="1" applyBorder="1" applyAlignment="1" applyProtection="1">
      <alignment horizontal="center"/>
      <protection locked="0"/>
    </xf>
    <xf numFmtId="49" fontId="1" fillId="2" borderId="114" xfId="0" applyNumberFormat="1" applyFont="1" applyFill="1" applyBorder="1" applyAlignment="1" applyProtection="1">
      <alignment horizontal="center"/>
      <protection locked="0"/>
    </xf>
    <xf numFmtId="49" fontId="1" fillId="2" borderId="115" xfId="0" applyNumberFormat="1" applyFont="1" applyFill="1" applyBorder="1" applyAlignment="1" applyProtection="1">
      <alignment horizontal="center"/>
      <protection locked="0"/>
    </xf>
    <xf numFmtId="3" fontId="1" fillId="2" borderId="57" xfId="0" applyNumberFormat="1" applyFont="1" applyFill="1" applyBorder="1" applyAlignment="1" applyProtection="1">
      <alignment horizontal="center"/>
      <protection locked="0"/>
    </xf>
    <xf numFmtId="3" fontId="1" fillId="2" borderId="58" xfId="0" applyNumberFormat="1" applyFont="1" applyFill="1" applyBorder="1" applyAlignment="1" applyProtection="1">
      <alignment horizontal="center"/>
      <protection locked="0"/>
    </xf>
    <xf numFmtId="49" fontId="1" fillId="2" borderId="50" xfId="0" applyNumberFormat="1" applyFont="1" applyFill="1" applyBorder="1" applyAlignment="1" applyProtection="1">
      <alignment horizontal="center"/>
      <protection locked="0"/>
    </xf>
    <xf numFmtId="49" fontId="1" fillId="2" borderId="55" xfId="0" applyNumberFormat="1" applyFont="1" applyFill="1" applyBorder="1" applyAlignment="1" applyProtection="1">
      <alignment horizontal="center"/>
      <protection locked="0"/>
    </xf>
    <xf numFmtId="0" fontId="15" fillId="4" borderId="0" xfId="0" applyFont="1" applyFill="1" applyAlignment="1" applyProtection="1">
      <alignment horizontal="justify" wrapText="1"/>
      <protection hidden="1"/>
    </xf>
    <xf numFmtId="164" fontId="1" fillId="2" borderId="50" xfId="0" applyNumberFormat="1" applyFont="1" applyFill="1" applyBorder="1" applyAlignment="1" applyProtection="1">
      <alignment horizontal="center"/>
      <protection locked="0"/>
    </xf>
    <xf numFmtId="164" fontId="1" fillId="2" borderId="55" xfId="0" applyNumberFormat="1" applyFont="1" applyFill="1" applyBorder="1" applyAlignment="1" applyProtection="1">
      <alignment horizontal="center"/>
      <protection locked="0"/>
    </xf>
    <xf numFmtId="0" fontId="2" fillId="7" borderId="14" xfId="0" applyFont="1" applyFill="1" applyBorder="1" applyAlignment="1" applyProtection="1">
      <alignment horizontal="center" vertical="center"/>
      <protection hidden="1"/>
    </xf>
    <xf numFmtId="0" fontId="2" fillId="7" borderId="0" xfId="0" applyFont="1" applyFill="1" applyBorder="1" applyAlignment="1" applyProtection="1">
      <alignment horizontal="center" vertical="center"/>
      <protection hidden="1"/>
    </xf>
    <xf numFmtId="0" fontId="2" fillId="7" borderId="86" xfId="0" applyFont="1" applyFill="1" applyBorder="1" applyAlignment="1" applyProtection="1">
      <alignment horizontal="center" vertical="center"/>
      <protection hidden="1"/>
    </xf>
    <xf numFmtId="3" fontId="1" fillId="2" borderId="50" xfId="0" applyNumberFormat="1" applyFont="1" applyFill="1" applyBorder="1" applyAlignment="1" applyProtection="1">
      <alignment horizontal="center"/>
      <protection locked="0"/>
    </xf>
    <xf numFmtId="3" fontId="1" fillId="2" borderId="55" xfId="0" applyNumberFormat="1" applyFont="1" applyFill="1" applyBorder="1" applyAlignment="1" applyProtection="1">
      <alignment horizontal="center"/>
      <protection locked="0"/>
    </xf>
    <xf numFmtId="49" fontId="1" fillId="2" borderId="57" xfId="0" applyNumberFormat="1" applyFont="1" applyFill="1" applyBorder="1" applyAlignment="1" applyProtection="1">
      <alignment horizontal="center"/>
      <protection locked="0"/>
    </xf>
    <xf numFmtId="49" fontId="1" fillId="2" borderId="58" xfId="0" applyNumberFormat="1" applyFont="1" applyFill="1" applyBorder="1" applyAlignment="1" applyProtection="1">
      <alignment horizontal="center"/>
      <protection locked="0"/>
    </xf>
    <xf numFmtId="0" fontId="1" fillId="2" borderId="114" xfId="0" applyFont="1" applyFill="1" applyBorder="1" applyAlignment="1" applyProtection="1">
      <alignment horizontal="center"/>
      <protection locked="0"/>
    </xf>
    <xf numFmtId="0" fontId="55" fillId="2" borderId="115" xfId="0" applyFont="1" applyFill="1" applyBorder="1" applyAlignment="1" applyProtection="1">
      <alignment horizontal="center"/>
      <protection locked="0"/>
    </xf>
    <xf numFmtId="167" fontId="1" fillId="2" borderId="114" xfId="0" applyNumberFormat="1" applyFont="1" applyFill="1" applyBorder="1" applyAlignment="1" applyProtection="1">
      <alignment horizontal="center"/>
      <protection locked="0"/>
    </xf>
    <xf numFmtId="167" fontId="1" fillId="2" borderId="115" xfId="0" applyNumberFormat="1" applyFont="1" applyFill="1" applyBorder="1" applyAlignment="1" applyProtection="1">
      <alignment horizontal="center"/>
      <protection locked="0"/>
    </xf>
    <xf numFmtId="0" fontId="15" fillId="4" borderId="0" xfId="0" applyFont="1" applyFill="1" applyAlignment="1" applyProtection="1">
      <alignment horizontal="justify" vertical="top" wrapText="1"/>
      <protection hidden="1"/>
    </xf>
    <xf numFmtId="0" fontId="1" fillId="12" borderId="66" xfId="0" applyFont="1" applyFill="1" applyBorder="1" applyAlignment="1" applyProtection="1">
      <alignment horizontal="right" indent="2"/>
      <protection hidden="1"/>
    </xf>
    <xf numFmtId="0" fontId="3" fillId="11" borderId="48" xfId="0" applyFont="1" applyFill="1" applyBorder="1" applyAlignment="1" applyProtection="1">
      <alignment horizontal="right"/>
      <protection hidden="1"/>
    </xf>
    <xf numFmtId="0" fontId="3" fillId="11" borderId="37" xfId="0" applyFont="1" applyFill="1" applyBorder="1" applyAlignment="1" applyProtection="1">
      <alignment horizontal="right"/>
      <protection hidden="1"/>
    </xf>
    <xf numFmtId="0" fontId="29" fillId="18" borderId="44" xfId="0" applyFont="1" applyFill="1" applyBorder="1" applyAlignment="1" applyProtection="1">
      <alignment horizontal="center" vertical="center"/>
      <protection hidden="1"/>
    </xf>
    <xf numFmtId="0" fontId="29" fillId="18" borderId="34" xfId="0" applyFont="1" applyFill="1" applyBorder="1" applyAlignment="1" applyProtection="1">
      <alignment horizontal="center" vertical="center"/>
      <protection hidden="1"/>
    </xf>
    <xf numFmtId="0" fontId="16" fillId="5" borderId="0" xfId="0" applyFont="1" applyFill="1" applyBorder="1" applyAlignment="1" applyProtection="1">
      <alignment horizontal="center"/>
      <protection hidden="1"/>
    </xf>
    <xf numFmtId="0" fontId="30" fillId="18" borderId="28" xfId="0" applyFont="1" applyFill="1" applyBorder="1" applyAlignment="1" applyProtection="1">
      <alignment horizontal="center"/>
      <protection hidden="1"/>
    </xf>
    <xf numFmtId="0" fontId="30" fillId="18" borderId="29" xfId="0" applyFont="1" applyFill="1" applyBorder="1" applyAlignment="1" applyProtection="1">
      <alignment horizontal="center"/>
      <protection hidden="1"/>
    </xf>
    <xf numFmtId="0" fontId="30" fillId="18" borderId="30" xfId="0" applyFont="1" applyFill="1" applyBorder="1" applyAlignment="1" applyProtection="1">
      <alignment horizontal="center"/>
      <protection hidden="1"/>
    </xf>
    <xf numFmtId="0" fontId="3" fillId="11" borderId="45" xfId="0" applyFont="1" applyFill="1" applyBorder="1" applyAlignment="1" applyProtection="1">
      <alignment horizontal="right"/>
      <protection hidden="1"/>
    </xf>
    <xf numFmtId="0" fontId="3" fillId="11" borderId="46" xfId="0" applyFont="1" applyFill="1" applyBorder="1" applyAlignment="1" applyProtection="1">
      <alignment horizontal="right"/>
      <protection hidden="1"/>
    </xf>
    <xf numFmtId="0" fontId="3" fillId="11" borderId="47" xfId="0" applyFont="1" applyFill="1" applyBorder="1" applyAlignment="1" applyProtection="1">
      <alignment horizontal="right"/>
      <protection hidden="1"/>
    </xf>
    <xf numFmtId="0" fontId="3" fillId="11" borderId="36" xfId="0" applyFont="1" applyFill="1" applyBorder="1" applyAlignment="1" applyProtection="1">
      <alignment horizontal="right"/>
      <protection hidden="1"/>
    </xf>
    <xf numFmtId="3" fontId="32" fillId="14" borderId="95" xfId="0" applyNumberFormat="1" applyFont="1" applyFill="1" applyBorder="1" applyAlignment="1" applyProtection="1">
      <alignment horizontal="center" vertical="center" wrapText="1"/>
      <protection hidden="1"/>
    </xf>
    <xf numFmtId="3" fontId="32" fillId="14" borderId="39" xfId="0" applyNumberFormat="1" applyFont="1" applyFill="1" applyBorder="1" applyAlignment="1" applyProtection="1">
      <alignment horizontal="center" vertical="center" wrapText="1"/>
      <protection hidden="1"/>
    </xf>
    <xf numFmtId="3" fontId="32" fillId="16" borderId="95" xfId="0" applyNumberFormat="1" applyFont="1" applyFill="1" applyBorder="1" applyAlignment="1" applyProtection="1">
      <alignment horizontal="center" vertical="center" wrapText="1"/>
      <protection hidden="1"/>
    </xf>
    <xf numFmtId="3" fontId="32" fillId="16" borderId="39" xfId="0" applyNumberFormat="1" applyFont="1" applyFill="1" applyBorder="1" applyAlignment="1" applyProtection="1">
      <alignment horizontal="center" vertical="center" wrapText="1"/>
      <protection hidden="1"/>
    </xf>
    <xf numFmtId="0" fontId="7" fillId="19" borderId="28" xfId="0" applyFont="1" applyFill="1" applyBorder="1" applyAlignment="1" applyProtection="1">
      <alignment horizontal="center" vertical="center"/>
      <protection hidden="1"/>
    </xf>
    <xf numFmtId="0" fontId="7" fillId="19" borderId="29" xfId="0" applyFont="1" applyFill="1" applyBorder="1" applyAlignment="1" applyProtection="1">
      <alignment horizontal="center" vertical="center"/>
      <protection hidden="1"/>
    </xf>
    <xf numFmtId="0" fontId="7" fillId="19" borderId="30" xfId="0" applyFont="1" applyFill="1" applyBorder="1" applyAlignment="1" applyProtection="1">
      <alignment horizontal="center" vertical="center"/>
      <protection hidden="1"/>
    </xf>
    <xf numFmtId="0" fontId="7" fillId="6" borderId="28" xfId="0" applyFont="1" applyFill="1" applyBorder="1" applyAlignment="1" applyProtection="1">
      <alignment horizontal="center" vertical="center"/>
      <protection hidden="1"/>
    </xf>
    <xf numFmtId="0" fontId="7" fillId="6" borderId="29" xfId="0" applyFont="1" applyFill="1" applyBorder="1" applyAlignment="1" applyProtection="1">
      <alignment horizontal="center" vertical="center"/>
      <protection hidden="1"/>
    </xf>
    <xf numFmtId="0" fontId="7" fillId="6" borderId="30" xfId="0" applyFont="1" applyFill="1" applyBorder="1" applyAlignment="1" applyProtection="1">
      <alignment horizontal="center" vertical="center"/>
      <protection hidden="1"/>
    </xf>
    <xf numFmtId="3" fontId="1" fillId="2" borderId="106" xfId="0" applyNumberFormat="1" applyFont="1" applyFill="1" applyBorder="1" applyAlignment="1" applyProtection="1">
      <alignment horizontal="center"/>
      <protection locked="0"/>
    </xf>
    <xf numFmtId="3" fontId="1" fillId="2" borderId="107" xfId="0" applyNumberFormat="1" applyFont="1" applyFill="1" applyBorder="1" applyAlignment="1" applyProtection="1">
      <alignment horizontal="center"/>
      <protection locked="0"/>
    </xf>
    <xf numFmtId="3" fontId="1" fillId="2" borderId="90" xfId="0" applyNumberFormat="1" applyFont="1" applyFill="1" applyBorder="1" applyAlignment="1" applyProtection="1">
      <alignment horizontal="center"/>
      <protection locked="0"/>
    </xf>
    <xf numFmtId="3" fontId="1" fillId="2" borderId="108" xfId="0" applyNumberFormat="1" applyFont="1" applyFill="1" applyBorder="1" applyAlignment="1" applyProtection="1">
      <alignment horizontal="center"/>
      <protection locked="0"/>
    </xf>
    <xf numFmtId="0" fontId="35" fillId="18" borderId="26" xfId="0" applyFont="1" applyFill="1" applyBorder="1" applyAlignment="1" applyProtection="1">
      <alignment horizontal="center"/>
      <protection hidden="1"/>
    </xf>
    <xf numFmtId="0" fontId="35" fillId="18" borderId="27" xfId="0" applyFont="1" applyFill="1" applyBorder="1" applyAlignment="1" applyProtection="1">
      <alignment horizontal="center"/>
      <protection hidden="1"/>
    </xf>
    <xf numFmtId="0" fontId="30" fillId="18" borderId="14" xfId="0" applyFont="1" applyFill="1" applyBorder="1" applyAlignment="1" applyProtection="1">
      <alignment horizontal="center"/>
      <protection hidden="1"/>
    </xf>
    <xf numFmtId="0" fontId="30" fillId="18" borderId="0" xfId="0" applyFont="1" applyFill="1" applyBorder="1" applyAlignment="1" applyProtection="1">
      <alignment horizontal="center"/>
      <protection hidden="1"/>
    </xf>
    <xf numFmtId="0" fontId="1" fillId="2" borderId="47" xfId="0" applyFont="1" applyFill="1" applyBorder="1" applyAlignment="1" applyProtection="1">
      <alignment horizontal="right"/>
      <protection locked="0"/>
    </xf>
    <xf numFmtId="0" fontId="1" fillId="2" borderId="36" xfId="0" applyFont="1" applyFill="1" applyBorder="1" applyAlignment="1" applyProtection="1">
      <alignment horizontal="right"/>
      <protection locked="0"/>
    </xf>
    <xf numFmtId="0" fontId="31" fillId="18" borderId="44" xfId="0" applyFont="1" applyFill="1" applyBorder="1" applyAlignment="1" applyProtection="1">
      <alignment horizontal="center" vertical="center"/>
      <protection hidden="1"/>
    </xf>
    <xf numFmtId="0" fontId="31" fillId="18" borderId="34" xfId="0" applyFont="1" applyFill="1" applyBorder="1" applyAlignment="1" applyProtection="1">
      <alignment horizontal="center" vertical="center"/>
      <protection hidden="1"/>
    </xf>
    <xf numFmtId="0" fontId="3" fillId="2" borderId="45" xfId="0" applyFont="1" applyFill="1" applyBorder="1" applyAlignment="1" applyProtection="1">
      <alignment horizontal="right"/>
      <protection locked="0"/>
    </xf>
    <xf numFmtId="0" fontId="3" fillId="2" borderId="46" xfId="0" applyFont="1" applyFill="1" applyBorder="1" applyAlignment="1" applyProtection="1">
      <alignment horizontal="right"/>
      <protection locked="0"/>
    </xf>
    <xf numFmtId="0" fontId="18" fillId="4" borderId="116" xfId="0" applyFont="1" applyFill="1" applyBorder="1" applyAlignment="1" applyProtection="1">
      <alignment horizontal="center"/>
      <protection hidden="1"/>
    </xf>
    <xf numFmtId="0" fontId="31" fillId="16" borderId="100" xfId="0" applyFont="1" applyFill="1" applyBorder="1" applyAlignment="1" applyProtection="1">
      <alignment horizontal="center" vertical="center"/>
      <protection hidden="1"/>
    </xf>
    <xf numFmtId="0" fontId="31" fillId="16" borderId="99" xfId="0" applyFont="1" applyFill="1" applyBorder="1" applyAlignment="1" applyProtection="1">
      <alignment horizontal="center" vertical="center"/>
      <protection hidden="1"/>
    </xf>
    <xf numFmtId="0" fontId="31" fillId="16" borderId="101" xfId="0" applyFont="1" applyFill="1" applyBorder="1" applyAlignment="1" applyProtection="1">
      <alignment horizontal="center" vertical="center"/>
      <protection hidden="1"/>
    </xf>
    <xf numFmtId="0" fontId="31" fillId="14" borderId="173" xfId="0" applyFont="1" applyFill="1" applyBorder="1" applyAlignment="1" applyProtection="1">
      <alignment horizontal="center" vertical="center"/>
      <protection hidden="1"/>
    </xf>
    <xf numFmtId="0" fontId="31" fillId="14" borderId="174" xfId="0" applyFont="1" applyFill="1" applyBorder="1" applyAlignment="1" applyProtection="1">
      <alignment horizontal="center" vertical="center"/>
      <protection hidden="1"/>
    </xf>
    <xf numFmtId="0" fontId="31" fillId="14" borderId="175" xfId="0" applyFont="1" applyFill="1" applyBorder="1" applyAlignment="1" applyProtection="1">
      <alignment horizontal="center" vertical="center"/>
      <protection hidden="1"/>
    </xf>
    <xf numFmtId="0" fontId="1" fillId="2" borderId="48" xfId="0" applyFont="1" applyFill="1" applyBorder="1" applyAlignment="1" applyProtection="1">
      <alignment horizontal="right"/>
      <protection locked="0"/>
    </xf>
    <xf numFmtId="0" fontId="1" fillId="2" borderId="37" xfId="0" applyFont="1" applyFill="1" applyBorder="1" applyAlignment="1" applyProtection="1">
      <alignment horizontal="right"/>
      <protection locked="0"/>
    </xf>
    <xf numFmtId="0" fontId="31" fillId="14" borderId="44" xfId="0" applyFont="1" applyFill="1" applyBorder="1" applyAlignment="1" applyProtection="1">
      <alignment horizontal="center" vertical="center"/>
      <protection hidden="1"/>
    </xf>
    <xf numFmtId="0" fontId="31" fillId="14" borderId="88" xfId="0" applyFont="1" applyFill="1" applyBorder="1" applyAlignment="1" applyProtection="1">
      <alignment horizontal="center" vertical="center"/>
      <protection hidden="1"/>
    </xf>
    <xf numFmtId="0" fontId="31" fillId="14" borderId="43" xfId="0" applyFont="1" applyFill="1" applyBorder="1" applyAlignment="1" applyProtection="1">
      <alignment horizontal="center" vertical="center"/>
      <protection hidden="1"/>
    </xf>
    <xf numFmtId="3" fontId="12" fillId="5" borderId="116" xfId="0" applyNumberFormat="1" applyFont="1" applyFill="1" applyBorder="1" applyAlignment="1" applyProtection="1">
      <alignment horizontal="center"/>
      <protection hidden="1"/>
    </xf>
    <xf numFmtId="0" fontId="16" fillId="5" borderId="116" xfId="0" applyFont="1" applyFill="1" applyBorder="1" applyAlignment="1" applyProtection="1">
      <alignment horizontal="center"/>
      <protection hidden="1"/>
    </xf>
    <xf numFmtId="0" fontId="35" fillId="14" borderId="166" xfId="0" applyFont="1" applyFill="1" applyBorder="1" applyAlignment="1" applyProtection="1">
      <alignment horizontal="center" vertical="center" wrapText="1"/>
      <protection hidden="1"/>
    </xf>
    <xf numFmtId="0" fontId="35" fillId="14" borderId="167" xfId="0" applyFont="1" applyFill="1" applyBorder="1" applyAlignment="1" applyProtection="1">
      <alignment horizontal="center" vertical="center" wrapText="1"/>
      <protection hidden="1"/>
    </xf>
    <xf numFmtId="0" fontId="27" fillId="13" borderId="14" xfId="0" applyFont="1" applyFill="1" applyBorder="1" applyAlignment="1" applyProtection="1">
      <alignment horizontal="center"/>
      <protection hidden="1"/>
    </xf>
    <xf numFmtId="0" fontId="27" fillId="13" borderId="0" xfId="0" applyFont="1" applyFill="1" applyAlignment="1" applyProtection="1">
      <alignment horizontal="center"/>
      <protection hidden="1"/>
    </xf>
    <xf numFmtId="0" fontId="27" fillId="13" borderId="86" xfId="0" applyFont="1" applyFill="1" applyBorder="1" applyAlignment="1" applyProtection="1">
      <alignment horizontal="center"/>
      <protection hidden="1"/>
    </xf>
    <xf numFmtId="0" fontId="27" fillId="13" borderId="104" xfId="0" applyFont="1" applyFill="1" applyBorder="1" applyAlignment="1" applyProtection="1">
      <alignment horizontal="center" vertical="center"/>
      <protection hidden="1"/>
    </xf>
    <xf numFmtId="0" fontId="27" fillId="13" borderId="93" xfId="0" applyFont="1" applyFill="1" applyBorder="1" applyAlignment="1" applyProtection="1">
      <alignment horizontal="center" vertical="center"/>
      <protection hidden="1"/>
    </xf>
    <xf numFmtId="0" fontId="27" fillId="13" borderId="105" xfId="0" applyFont="1" applyFill="1" applyBorder="1" applyAlignment="1" applyProtection="1">
      <alignment horizontal="center" vertical="center"/>
      <protection hidden="1"/>
    </xf>
    <xf numFmtId="0" fontId="42" fillId="18" borderId="159" xfId="0" applyFont="1" applyFill="1" applyBorder="1" applyAlignment="1" applyProtection="1">
      <alignment horizontal="center" vertical="center" wrapText="1"/>
      <protection hidden="1"/>
    </xf>
    <xf numFmtId="0" fontId="42" fillId="18" borderId="160" xfId="0" applyFont="1" applyFill="1" applyBorder="1" applyAlignment="1" applyProtection="1">
      <alignment horizontal="center" vertical="center" wrapText="1"/>
      <protection hidden="1"/>
    </xf>
    <xf numFmtId="0" fontId="8" fillId="3" borderId="28" xfId="0" applyFont="1" applyFill="1" applyBorder="1" applyAlignment="1" applyProtection="1">
      <alignment horizontal="right" vertical="center"/>
      <protection hidden="1"/>
    </xf>
    <xf numFmtId="0" fontId="8" fillId="3" borderId="29" xfId="0" applyFont="1" applyFill="1" applyBorder="1" applyAlignment="1" applyProtection="1">
      <alignment horizontal="right" vertical="center"/>
      <protection hidden="1"/>
    </xf>
    <xf numFmtId="0" fontId="8" fillId="3" borderId="111" xfId="0" applyFont="1" applyFill="1" applyBorder="1" applyAlignment="1" applyProtection="1">
      <alignment horizontal="right" vertical="center"/>
      <protection hidden="1"/>
    </xf>
    <xf numFmtId="0" fontId="7" fillId="4" borderId="150" xfId="0" applyFont="1" applyFill="1" applyBorder="1" applyAlignment="1">
      <alignment horizontal="center"/>
    </xf>
    <xf numFmtId="0" fontId="7" fillId="4" borderId="151" xfId="0" applyFont="1" applyFill="1" applyBorder="1" applyAlignment="1">
      <alignment horizontal="center"/>
    </xf>
    <xf numFmtId="0" fontId="7" fillId="4" borderId="152" xfId="0" applyFont="1" applyFill="1" applyBorder="1" applyAlignment="1">
      <alignment horizontal="center"/>
    </xf>
    <xf numFmtId="0" fontId="7" fillId="4" borderId="148" xfId="0" applyFont="1" applyFill="1" applyBorder="1" applyAlignment="1">
      <alignment horizontal="center"/>
    </xf>
    <xf numFmtId="0" fontId="7" fillId="4" borderId="143" xfId="0" applyFont="1" applyFill="1" applyBorder="1" applyAlignment="1">
      <alignment horizontal="center"/>
    </xf>
    <xf numFmtId="0" fontId="7" fillId="4" borderId="149" xfId="0" applyFont="1" applyFill="1" applyBorder="1" applyAlignment="1">
      <alignment horizontal="center"/>
    </xf>
    <xf numFmtId="0" fontId="7" fillId="4" borderId="153" xfId="0" applyFont="1" applyFill="1" applyBorder="1" applyAlignment="1">
      <alignment horizontal="center"/>
    </xf>
    <xf numFmtId="0" fontId="7" fillId="4" borderId="154" xfId="0" applyFont="1" applyFill="1" applyBorder="1" applyAlignment="1">
      <alignment horizontal="center"/>
    </xf>
    <xf numFmtId="0" fontId="7" fillId="4" borderId="155" xfId="0" applyFont="1" applyFill="1" applyBorder="1" applyAlignment="1">
      <alignment horizontal="center"/>
    </xf>
    <xf numFmtId="0" fontId="45" fillId="4" borderId="164" xfId="0" applyFont="1" applyFill="1" applyBorder="1" applyAlignment="1">
      <alignment horizontal="center"/>
    </xf>
    <xf numFmtId="0" fontId="45" fillId="4" borderId="18" xfId="0" applyFont="1" applyFill="1" applyBorder="1" applyAlignment="1">
      <alignment horizontal="center"/>
    </xf>
    <xf numFmtId="0" fontId="45" fillId="4" borderId="165" xfId="0" applyFont="1" applyFill="1" applyBorder="1" applyAlignment="1">
      <alignment horizontal="center"/>
    </xf>
    <xf numFmtId="0" fontId="7" fillId="19" borderId="28" xfId="0" applyFont="1" applyFill="1" applyBorder="1" applyAlignment="1">
      <alignment horizontal="center" vertical="center"/>
    </xf>
    <xf numFmtId="0" fontId="7" fillId="19" borderId="29" xfId="0" applyFont="1" applyFill="1" applyBorder="1" applyAlignment="1">
      <alignment horizontal="center" vertical="center"/>
    </xf>
    <xf numFmtId="0" fontId="7" fillId="19" borderId="30" xfId="0" applyFont="1" applyFill="1" applyBorder="1" applyAlignment="1">
      <alignment horizontal="center" vertical="center"/>
    </xf>
    <xf numFmtId="0" fontId="7" fillId="6" borderId="29" xfId="0" applyFont="1" applyFill="1" applyBorder="1" applyAlignment="1">
      <alignment horizontal="center" vertical="center"/>
    </xf>
    <xf numFmtId="0" fontId="7" fillId="6" borderId="30" xfId="0" applyFont="1" applyFill="1" applyBorder="1" applyAlignment="1">
      <alignment horizontal="center" vertical="center"/>
    </xf>
    <xf numFmtId="0" fontId="18" fillId="4" borderId="116" xfId="0" applyFont="1" applyFill="1" applyBorder="1" applyAlignment="1">
      <alignment horizontal="center"/>
    </xf>
    <xf numFmtId="0" fontId="5" fillId="12" borderId="19" xfId="0" applyFont="1" applyFill="1" applyBorder="1" applyAlignment="1">
      <alignment horizontal="center"/>
    </xf>
    <xf numFmtId="0" fontId="5" fillId="12" borderId="20" xfId="0" applyFont="1" applyFill="1" applyBorder="1" applyAlignment="1">
      <alignment horizontal="center"/>
    </xf>
    <xf numFmtId="0" fontId="5" fillId="12" borderId="21" xfId="0" applyFont="1" applyFill="1" applyBorder="1" applyAlignment="1">
      <alignment horizontal="center"/>
    </xf>
    <xf numFmtId="0" fontId="5" fillId="2" borderId="176" xfId="0" applyFont="1" applyFill="1" applyBorder="1" applyAlignment="1" applyProtection="1">
      <alignment horizontal="center"/>
      <protection locked="0" hidden="1"/>
    </xf>
    <xf numFmtId="0" fontId="5" fillId="2" borderId="177" xfId="0" applyFont="1" applyFill="1" applyBorder="1" applyAlignment="1" applyProtection="1">
      <alignment horizontal="center"/>
      <protection locked="0" hidden="1"/>
    </xf>
    <xf numFmtId="0" fontId="7" fillId="0" borderId="164" xfId="0" applyFont="1" applyBorder="1" applyAlignment="1">
      <alignment horizontal="justify" vertical="center" wrapText="1"/>
    </xf>
    <xf numFmtId="0" fontId="7" fillId="0" borderId="18" xfId="0" applyFont="1" applyBorder="1" applyAlignment="1">
      <alignment horizontal="justify" vertical="center" wrapText="1"/>
    </xf>
    <xf numFmtId="0" fontId="7" fillId="0" borderId="165" xfId="0" applyFont="1" applyBorder="1" applyAlignment="1">
      <alignment horizontal="justify" vertical="center" wrapText="1"/>
    </xf>
    <xf numFmtId="0" fontId="16" fillId="0" borderId="0" xfId="0" applyFont="1" applyBorder="1" applyAlignment="1">
      <alignment horizontal="left"/>
    </xf>
    <xf numFmtId="0" fontId="48" fillId="0" borderId="137" xfId="0" applyFont="1" applyBorder="1" applyAlignment="1">
      <alignment horizontal="center" wrapText="1"/>
    </xf>
    <xf numFmtId="0" fontId="48" fillId="0" borderId="116" xfId="0" applyFont="1" applyBorder="1" applyAlignment="1">
      <alignment horizontal="center" wrapText="1"/>
    </xf>
    <xf numFmtId="0" fontId="48" fillId="0" borderId="130" xfId="0" applyFont="1" applyBorder="1" applyAlignment="1">
      <alignment horizontal="center" wrapText="1"/>
    </xf>
    <xf numFmtId="0" fontId="48" fillId="0" borderId="14" xfId="0" applyFont="1" applyBorder="1" applyAlignment="1">
      <alignment horizontal="center" wrapText="1"/>
    </xf>
    <xf numFmtId="0" fontId="48" fillId="0" borderId="0" xfId="0" applyFont="1" applyBorder="1" applyAlignment="1">
      <alignment horizontal="center" wrapText="1"/>
    </xf>
    <xf numFmtId="0" fontId="48" fillId="0" borderId="86" xfId="0" applyFont="1" applyBorder="1" applyAlignment="1">
      <alignment horizontal="center" wrapText="1"/>
    </xf>
    <xf numFmtId="0" fontId="49" fillId="18" borderId="0" xfId="0" applyFont="1" applyFill="1" applyAlignment="1">
      <alignment horizontal="center"/>
    </xf>
    <xf numFmtId="0" fontId="7" fillId="0" borderId="168" xfId="0" applyFont="1" applyBorder="1" applyAlignment="1">
      <alignment horizontal="justify" wrapText="1"/>
    </xf>
    <xf numFmtId="0" fontId="7" fillId="0" borderId="169" xfId="0" applyFont="1" applyBorder="1" applyAlignment="1">
      <alignment horizontal="justify" wrapText="1"/>
    </xf>
    <xf numFmtId="0" fontId="7" fillId="0" borderId="170" xfId="0" applyFont="1" applyBorder="1" applyAlignment="1">
      <alignment horizontal="justify" wrapText="1"/>
    </xf>
    <xf numFmtId="0" fontId="7" fillId="0" borderId="14" xfId="0" applyFont="1" applyBorder="1" applyAlignment="1">
      <alignment horizontal="justify" wrapText="1"/>
    </xf>
    <xf numFmtId="0" fontId="7" fillId="0" borderId="0" xfId="0" applyFont="1" applyBorder="1" applyAlignment="1">
      <alignment horizontal="justify" wrapText="1"/>
    </xf>
    <xf numFmtId="0" fontId="7" fillId="0" borderId="86" xfId="0" applyFont="1" applyBorder="1" applyAlignment="1">
      <alignment horizontal="justify" wrapText="1"/>
    </xf>
    <xf numFmtId="0" fontId="45" fillId="0" borderId="137" xfId="0" applyFont="1" applyBorder="1" applyAlignment="1">
      <alignment horizontal="center"/>
    </xf>
    <xf numFmtId="0" fontId="45" fillId="0" borderId="116" xfId="0" applyFont="1" applyBorder="1" applyAlignment="1">
      <alignment horizontal="center"/>
    </xf>
    <xf numFmtId="0" fontId="45" fillId="0" borderId="130" xfId="0" applyFont="1" applyBorder="1" applyAlignment="1">
      <alignment horizontal="center"/>
    </xf>
    <xf numFmtId="0" fontId="13" fillId="0" borderId="0" xfId="0" applyFont="1" applyBorder="1" applyAlignment="1">
      <alignment horizontal="center"/>
    </xf>
    <xf numFmtId="0" fontId="47" fillId="0" borderId="14" xfId="0" applyFont="1" applyBorder="1" applyAlignment="1">
      <alignment horizontal="justify" wrapText="1"/>
    </xf>
    <xf numFmtId="0" fontId="47" fillId="0" borderId="0" xfId="0" applyFont="1" applyBorder="1" applyAlignment="1">
      <alignment horizontal="justify" wrapText="1"/>
    </xf>
    <xf numFmtId="0" fontId="47" fillId="0" borderId="86" xfId="0" applyFont="1" applyBorder="1" applyAlignment="1">
      <alignment horizontal="justify" wrapText="1"/>
    </xf>
    <xf numFmtId="0" fontId="27" fillId="0" borderId="164" xfId="0" applyFont="1" applyBorder="1" applyAlignment="1">
      <alignment horizontal="center"/>
    </xf>
    <xf numFmtId="0" fontId="27" fillId="0" borderId="18" xfId="0" applyFont="1" applyBorder="1" applyAlignment="1">
      <alignment horizontal="center"/>
    </xf>
    <xf numFmtId="0" fontId="27" fillId="0" borderId="165" xfId="0" applyFont="1" applyBorder="1" applyAlignment="1">
      <alignment horizontal="center"/>
    </xf>
    <xf numFmtId="0" fontId="7" fillId="0" borderId="164" xfId="0" applyFont="1" applyBorder="1" applyAlignment="1">
      <alignment horizontal="justify" wrapText="1"/>
    </xf>
    <xf numFmtId="0" fontId="7" fillId="0" borderId="18" xfId="0" applyFont="1" applyBorder="1" applyAlignment="1">
      <alignment horizontal="justify" wrapText="1"/>
    </xf>
    <xf numFmtId="0" fontId="7" fillId="0" borderId="165" xfId="0" applyFont="1" applyBorder="1" applyAlignment="1">
      <alignment horizontal="justify" wrapText="1"/>
    </xf>
    <xf numFmtId="0" fontId="7" fillId="2" borderId="14" xfId="0" applyFont="1" applyFill="1" applyBorder="1" applyAlignment="1" applyProtection="1">
      <alignment horizontal="center" wrapText="1"/>
      <protection hidden="1"/>
    </xf>
    <xf numFmtId="0" fontId="7" fillId="2" borderId="0" xfId="0" applyFont="1" applyFill="1" applyBorder="1" applyAlignment="1" applyProtection="1">
      <alignment horizontal="center" wrapText="1"/>
      <protection hidden="1"/>
    </xf>
    <xf numFmtId="0" fontId="7" fillId="2" borderId="86" xfId="0" applyFont="1" applyFill="1" applyBorder="1" applyAlignment="1" applyProtection="1">
      <alignment horizontal="center" wrapText="1"/>
      <protection hidden="1"/>
    </xf>
    <xf numFmtId="0" fontId="47" fillId="10" borderId="164" xfId="0" applyFont="1" applyFill="1" applyBorder="1" applyAlignment="1" applyProtection="1">
      <alignment horizontal="left" vertical="top" wrapText="1"/>
      <protection locked="0"/>
    </xf>
    <xf numFmtId="0" fontId="47" fillId="10" borderId="18" xfId="0" applyFont="1" applyFill="1" applyBorder="1" applyAlignment="1" applyProtection="1">
      <alignment horizontal="left" vertical="top" wrapText="1"/>
      <protection locked="0"/>
    </xf>
    <xf numFmtId="0" fontId="47" fillId="10" borderId="165" xfId="0" applyFont="1" applyFill="1" applyBorder="1" applyAlignment="1" applyProtection="1">
      <alignment horizontal="left" vertical="top" wrapText="1"/>
      <protection locked="0"/>
    </xf>
    <xf numFmtId="0" fontId="34" fillId="18" borderId="144" xfId="0" applyFont="1" applyFill="1" applyBorder="1" applyAlignment="1">
      <alignment horizontal="center" vertical="center"/>
    </xf>
    <xf numFmtId="0" fontId="34" fillId="18" borderId="183" xfId="0" applyFont="1" applyFill="1" applyBorder="1" applyAlignment="1">
      <alignment horizontal="center" vertical="center"/>
    </xf>
    <xf numFmtId="0" fontId="34" fillId="18" borderId="184" xfId="0" applyFont="1" applyFill="1" applyBorder="1" applyAlignment="1">
      <alignment horizontal="center" vertical="center"/>
    </xf>
    <xf numFmtId="0" fontId="7" fillId="0" borderId="14" xfId="0" applyFont="1" applyBorder="1" applyAlignment="1">
      <alignment horizontal="center" wrapText="1"/>
    </xf>
    <xf numFmtId="0" fontId="7" fillId="0" borderId="0" xfId="0" applyFont="1" applyBorder="1" applyAlignment="1">
      <alignment horizontal="center" wrapText="1"/>
    </xf>
    <xf numFmtId="0" fontId="7" fillId="0" borderId="86" xfId="0" applyFont="1" applyBorder="1" applyAlignment="1">
      <alignment horizontal="center" wrapText="1"/>
    </xf>
    <xf numFmtId="0" fontId="47" fillId="0" borderId="146" xfId="0" applyFont="1" applyBorder="1" applyAlignment="1">
      <alignment horizontal="center" wrapText="1"/>
    </xf>
    <xf numFmtId="0" fontId="47" fillId="0" borderId="142" xfId="0" applyFont="1" applyBorder="1" applyAlignment="1">
      <alignment horizontal="center" wrapText="1"/>
    </xf>
    <xf numFmtId="0" fontId="47" fillId="0" borderId="182" xfId="0" applyFont="1" applyBorder="1" applyAlignment="1">
      <alignment horizontal="center" wrapText="1"/>
    </xf>
    <xf numFmtId="0" fontId="7" fillId="0" borderId="164" xfId="0" applyFont="1" applyBorder="1" applyAlignment="1">
      <alignment horizontal="center" wrapText="1"/>
    </xf>
    <xf numFmtId="0" fontId="7" fillId="0" borderId="18" xfId="0" applyFont="1" applyBorder="1" applyAlignment="1">
      <alignment horizontal="center" wrapText="1"/>
    </xf>
    <xf numFmtId="0" fontId="7" fillId="0" borderId="165" xfId="0" applyFont="1" applyBorder="1" applyAlignment="1">
      <alignment horizontal="center" wrapText="1"/>
    </xf>
    <xf numFmtId="0" fontId="34" fillId="18" borderId="137" xfId="0" applyFont="1" applyFill="1" applyBorder="1" applyAlignment="1">
      <alignment horizontal="center" vertical="center"/>
    </xf>
    <xf numFmtId="0" fontId="34" fillId="18" borderId="116" xfId="0" applyFont="1" applyFill="1" applyBorder="1" applyAlignment="1">
      <alignment horizontal="center" vertical="center"/>
    </xf>
    <xf numFmtId="0" fontId="34" fillId="18" borderId="130" xfId="0" applyFont="1" applyFill="1" applyBorder="1" applyAlignment="1">
      <alignment horizontal="center" vertical="center"/>
    </xf>
    <xf numFmtId="0" fontId="7" fillId="0" borderId="14" xfId="0" applyFont="1" applyBorder="1" applyAlignment="1" applyProtection="1">
      <alignment horizontal="justify" vertical="center" wrapText="1"/>
      <protection hidden="1"/>
    </xf>
    <xf numFmtId="0" fontId="7" fillId="0" borderId="0" xfId="0" applyFont="1" applyBorder="1" applyAlignment="1" applyProtection="1">
      <alignment horizontal="justify" vertical="center" wrapText="1"/>
      <protection hidden="1"/>
    </xf>
    <xf numFmtId="0" fontId="7" fillId="0" borderId="86" xfId="0" applyFont="1" applyBorder="1" applyAlignment="1" applyProtection="1">
      <alignment horizontal="justify" vertical="center" wrapText="1"/>
      <protection hidden="1"/>
    </xf>
    <xf numFmtId="0" fontId="7" fillId="0" borderId="14" xfId="0" applyFont="1" applyBorder="1" applyAlignment="1" applyProtection="1">
      <alignment horizontal="justify" wrapText="1"/>
      <protection hidden="1"/>
    </xf>
    <xf numFmtId="0" fontId="7" fillId="0" borderId="0" xfId="0" applyFont="1" applyBorder="1" applyAlignment="1" applyProtection="1">
      <alignment horizontal="justify" wrapText="1"/>
      <protection hidden="1"/>
    </xf>
    <xf numFmtId="0" fontId="7" fillId="0" borderId="86" xfId="0" applyFont="1" applyBorder="1" applyAlignment="1" applyProtection="1">
      <alignment horizontal="justify" wrapText="1"/>
      <protection hidden="1"/>
    </xf>
    <xf numFmtId="0" fontId="7" fillId="0" borderId="14" xfId="0" applyFont="1" applyBorder="1" applyAlignment="1" applyProtection="1">
      <alignment horizontal="justify" vertical="top" wrapText="1"/>
      <protection hidden="1"/>
    </xf>
    <xf numFmtId="0" fontId="7" fillId="0" borderId="0" xfId="0" applyFont="1" applyBorder="1" applyAlignment="1" applyProtection="1">
      <alignment horizontal="justify" vertical="top" wrapText="1"/>
      <protection hidden="1"/>
    </xf>
    <xf numFmtId="0" fontId="7" fillId="0" borderId="86" xfId="0" applyFont="1" applyBorder="1" applyAlignment="1" applyProtection="1">
      <alignment horizontal="justify" vertical="top" wrapText="1"/>
      <protection hidden="1"/>
    </xf>
    <xf numFmtId="0" fontId="9" fillId="0" borderId="137" xfId="0" applyFont="1" applyBorder="1" applyAlignment="1">
      <alignment horizontal="center"/>
    </xf>
    <xf numFmtId="0" fontId="9" fillId="0" borderId="116" xfId="0" applyFont="1" applyBorder="1" applyAlignment="1">
      <alignment horizontal="center"/>
    </xf>
    <xf numFmtId="0" fontId="9" fillId="0" borderId="130" xfId="0" applyFont="1" applyBorder="1" applyAlignment="1">
      <alignment horizontal="center"/>
    </xf>
    <xf numFmtId="0" fontId="7" fillId="0" borderId="14" xfId="0" applyFont="1" applyBorder="1" applyAlignment="1" applyProtection="1">
      <alignment horizontal="left" vertical="top" wrapText="1"/>
      <protection hidden="1"/>
    </xf>
    <xf numFmtId="0" fontId="7" fillId="0" borderId="0" xfId="0" applyFont="1" applyBorder="1" applyAlignment="1" applyProtection="1">
      <alignment horizontal="left" vertical="top" wrapText="1"/>
      <protection hidden="1"/>
    </xf>
    <xf numFmtId="0" fontId="7" fillId="0" borderId="86" xfId="0" applyFont="1" applyBorder="1" applyAlignment="1" applyProtection="1">
      <alignment horizontal="left" vertical="top" wrapText="1"/>
      <protection hidden="1"/>
    </xf>
    <xf numFmtId="0" fontId="7" fillId="0" borderId="164" xfId="0" applyFont="1" applyBorder="1" applyAlignment="1" applyProtection="1">
      <alignment horizontal="justify" vertical="top" wrapText="1"/>
      <protection hidden="1"/>
    </xf>
    <xf numFmtId="0" fontId="7" fillId="0" borderId="18" xfId="0" applyFont="1" applyBorder="1" applyAlignment="1" applyProtection="1">
      <alignment horizontal="justify" vertical="top" wrapText="1"/>
      <protection hidden="1"/>
    </xf>
    <xf numFmtId="0" fontId="7" fillId="0" borderId="165" xfId="0" applyFont="1" applyBorder="1" applyAlignment="1" applyProtection="1">
      <alignment horizontal="justify" vertical="top" wrapText="1"/>
      <protection hidden="1"/>
    </xf>
    <xf numFmtId="0" fontId="7" fillId="0" borderId="14" xfId="0" applyFont="1" applyBorder="1" applyAlignment="1">
      <alignment horizontal="left" wrapText="1"/>
    </xf>
    <xf numFmtId="0" fontId="7" fillId="0" borderId="0" xfId="0" applyFont="1" applyBorder="1" applyAlignment="1">
      <alignment horizontal="left" wrapText="1"/>
    </xf>
    <xf numFmtId="0" fontId="7" fillId="0" borderId="86" xfId="0" applyFont="1" applyBorder="1" applyAlignment="1">
      <alignment horizontal="left" wrapText="1"/>
    </xf>
    <xf numFmtId="0" fontId="9" fillId="0" borderId="137" xfId="0" applyFont="1" applyBorder="1" applyAlignment="1" applyProtection="1">
      <alignment horizontal="center"/>
      <protection hidden="1"/>
    </xf>
    <xf numFmtId="0" fontId="9" fillId="0" borderId="116" xfId="0" applyFont="1" applyBorder="1" applyAlignment="1" applyProtection="1">
      <alignment horizontal="center"/>
      <protection hidden="1"/>
    </xf>
    <xf numFmtId="0" fontId="9" fillId="0" borderId="130" xfId="0" applyFont="1" applyBorder="1" applyAlignment="1" applyProtection="1">
      <alignment horizontal="center"/>
      <protection hidden="1"/>
    </xf>
    <xf numFmtId="0" fontId="26" fillId="0" borderId="0" xfId="0" applyFont="1" applyBorder="1" applyAlignment="1">
      <alignment horizontal="left" wrapText="1"/>
    </xf>
    <xf numFmtId="0" fontId="47" fillId="0" borderId="14" xfId="0" applyFont="1" applyBorder="1" applyAlignment="1">
      <alignment horizontal="left" wrapText="1"/>
    </xf>
    <xf numFmtId="0" fontId="47" fillId="0" borderId="0" xfId="0" applyFont="1" applyBorder="1" applyAlignment="1">
      <alignment horizontal="left" wrapText="1"/>
    </xf>
    <xf numFmtId="0" fontId="47" fillId="0" borderId="86" xfId="0" applyFont="1" applyBorder="1" applyAlignment="1">
      <alignment horizontal="left" wrapText="1"/>
    </xf>
    <xf numFmtId="0" fontId="7" fillId="2" borderId="14" xfId="0" applyFont="1" applyFill="1" applyBorder="1" applyAlignment="1" applyProtection="1">
      <alignment horizontal="justify" vertical="center" wrapText="1"/>
      <protection hidden="1"/>
    </xf>
    <xf numFmtId="0" fontId="7" fillId="2" borderId="0" xfId="0" applyFont="1" applyFill="1" applyBorder="1" applyAlignment="1" applyProtection="1">
      <alignment horizontal="justify" vertical="center" wrapText="1"/>
      <protection hidden="1"/>
    </xf>
    <xf numFmtId="0" fontId="7" fillId="2" borderId="86" xfId="0" applyFont="1" applyFill="1" applyBorder="1" applyAlignment="1" applyProtection="1">
      <alignment horizontal="justify" vertical="center" wrapText="1"/>
      <protection hidden="1"/>
    </xf>
    <xf numFmtId="0" fontId="34" fillId="18" borderId="137" xfId="0" applyFont="1" applyFill="1" applyBorder="1" applyAlignment="1" applyProtection="1">
      <alignment horizontal="center" vertical="center"/>
      <protection hidden="1"/>
    </xf>
    <xf numFmtId="0" fontId="34" fillId="18" borderId="116" xfId="0" applyFont="1" applyFill="1" applyBorder="1" applyAlignment="1" applyProtection="1">
      <alignment horizontal="center" vertical="center"/>
      <protection hidden="1"/>
    </xf>
    <xf numFmtId="0" fontId="34" fillId="18" borderId="130" xfId="0" applyFont="1" applyFill="1" applyBorder="1" applyAlignment="1" applyProtection="1">
      <alignment horizontal="center" vertical="center"/>
      <protection hidden="1"/>
    </xf>
    <xf numFmtId="0" fontId="63" fillId="0" borderId="14" xfId="0" applyFont="1" applyBorder="1" applyAlignment="1" applyProtection="1">
      <alignment horizontal="center" wrapText="1"/>
      <protection hidden="1"/>
    </xf>
    <xf numFmtId="0" fontId="63" fillId="0" borderId="0" xfId="0" applyFont="1" applyBorder="1" applyAlignment="1" applyProtection="1">
      <alignment horizontal="center" wrapText="1"/>
      <protection hidden="1"/>
    </xf>
    <xf numFmtId="0" fontId="63" fillId="0" borderId="86" xfId="0" applyFont="1" applyBorder="1" applyAlignment="1" applyProtection="1">
      <alignment horizontal="center" wrapText="1"/>
      <protection hidden="1"/>
    </xf>
    <xf numFmtId="0" fontId="7" fillId="0" borderId="14" xfId="0" applyFont="1" applyBorder="1" applyAlignment="1" applyProtection="1">
      <alignment horizontal="justify"/>
      <protection hidden="1"/>
    </xf>
    <xf numFmtId="0" fontId="7" fillId="0" borderId="0" xfId="0" applyFont="1" applyBorder="1" applyAlignment="1" applyProtection="1">
      <alignment horizontal="justify"/>
      <protection hidden="1"/>
    </xf>
    <xf numFmtId="0" fontId="7" fillId="0" borderId="86" xfId="0" applyFont="1" applyBorder="1" applyAlignment="1" applyProtection="1">
      <alignment horizontal="justify"/>
      <protection hidden="1"/>
    </xf>
    <xf numFmtId="0" fontId="28" fillId="11" borderId="66" xfId="0" applyFont="1" applyFill="1" applyBorder="1" applyAlignment="1" applyProtection="1">
      <alignment horizontal="left"/>
      <protection locked="0"/>
    </xf>
    <xf numFmtId="0" fontId="28" fillId="2" borderId="0" xfId="0" applyFont="1" applyFill="1" applyAlignment="1">
      <alignment horizontal="left" wrapText="1"/>
    </xf>
    <xf numFmtId="0" fontId="3" fillId="2" borderId="0" xfId="0" applyFont="1" applyFill="1" applyBorder="1" applyAlignment="1">
      <alignment horizontal="center"/>
    </xf>
    <xf numFmtId="0" fontId="3" fillId="2" borderId="180" xfId="0" applyFont="1" applyFill="1" applyBorder="1" applyAlignment="1">
      <alignment horizontal="center"/>
    </xf>
    <xf numFmtId="0" fontId="61" fillId="2" borderId="0" xfId="0" applyFont="1" applyFill="1" applyAlignment="1">
      <alignment horizontal="center"/>
    </xf>
    <xf numFmtId="0" fontId="1" fillId="12" borderId="66" xfId="0" applyFont="1" applyFill="1" applyBorder="1" applyAlignment="1" applyProtection="1">
      <alignment horizontal="center"/>
      <protection hidden="1"/>
    </xf>
    <xf numFmtId="0" fontId="34" fillId="21" borderId="0" xfId="0" applyFont="1" applyFill="1" applyAlignment="1" applyProtection="1">
      <alignment horizontal="center"/>
      <protection hidden="1"/>
    </xf>
    <xf numFmtId="0" fontId="1" fillId="12" borderId="66" xfId="0" applyFont="1" applyFill="1" applyBorder="1" applyAlignment="1" applyProtection="1">
      <alignment horizontal="right" wrapText="1"/>
      <protection hidden="1"/>
    </xf>
    <xf numFmtId="0" fontId="16" fillId="5" borderId="131" xfId="0" applyFont="1" applyFill="1" applyBorder="1" applyAlignment="1" applyProtection="1">
      <alignment horizontal="center" vertical="center"/>
      <protection hidden="1"/>
    </xf>
    <xf numFmtId="0" fontId="13" fillId="5" borderId="0" xfId="0" applyFont="1" applyFill="1" applyAlignment="1" applyProtection="1">
      <alignment horizontal="center"/>
      <protection hidden="1"/>
    </xf>
    <xf numFmtId="0" fontId="1" fillId="12" borderId="66" xfId="0" applyFont="1" applyFill="1" applyBorder="1" applyAlignment="1" applyProtection="1">
      <alignment horizontal="right"/>
      <protection hidden="1"/>
    </xf>
    <xf numFmtId="0" fontId="16" fillId="5" borderId="0" xfId="0" applyFont="1" applyFill="1" applyAlignment="1" applyProtection="1">
      <alignment horizontal="center" vertical="top"/>
      <protection hidden="1"/>
    </xf>
  </cellXfs>
  <cellStyles count="2">
    <cellStyle name="Normal" xfId="0" builtinId="0"/>
    <cellStyle name="Pourcentage" xfId="1" builtinId="5"/>
  </cellStyles>
  <dxfs count="2">
    <dxf>
      <fill>
        <patternFill>
          <bgColor theme="9" tint="0.59996337778862885"/>
        </patternFill>
      </fill>
    </dxf>
    <dxf>
      <fill>
        <patternFill>
          <bgColor theme="5" tint="0.59996337778862885"/>
        </patternFill>
      </fill>
    </dxf>
  </dxfs>
  <tableStyles count="0" defaultTableStyle="TableStyleMedium2" defaultPivotStyle="PivotStyleLight16"/>
  <colors>
    <mruColors>
      <color rgb="FFFCFFE7"/>
      <color rgb="FF2B956A"/>
      <color rgb="FF333F4F"/>
      <color rgb="FFFEFFF7"/>
      <color rgb="FF25AB5E"/>
      <color rgb="FFE6F3FE"/>
      <color rgb="FFBF11A6"/>
      <color rgb="FFECFEF5"/>
      <color rgb="FFFDCBF5"/>
      <color rgb="FFFBA3E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10.xml.rels><?xml version="1.0" encoding="UTF-8" standalone="yes"?>
<Relationships xmlns="http://schemas.openxmlformats.org/package/2006/relationships"><Relationship Id="rId2" Type="http://schemas.microsoft.com/office/2011/relationships/chartColorStyle" Target="colors10.xml"/><Relationship Id="rId1" Type="http://schemas.microsoft.com/office/2011/relationships/chartStyle" Target="style10.xml"/></Relationships>
</file>

<file path=xl/charts/_rels/chart11.xml.rels><?xml version="1.0" encoding="UTF-8" standalone="yes"?>
<Relationships xmlns="http://schemas.openxmlformats.org/package/2006/relationships"><Relationship Id="rId2" Type="http://schemas.microsoft.com/office/2011/relationships/chartColorStyle" Target="colors11.xml"/><Relationship Id="rId1" Type="http://schemas.microsoft.com/office/2011/relationships/chartStyle" Target="style11.xml"/></Relationships>
</file>

<file path=xl/charts/_rels/chart12.xml.rels><?xml version="1.0" encoding="UTF-8" standalone="yes"?>
<Relationships xmlns="http://schemas.openxmlformats.org/package/2006/relationships"><Relationship Id="rId2" Type="http://schemas.microsoft.com/office/2011/relationships/chartColorStyle" Target="colors12.xml"/><Relationship Id="rId1" Type="http://schemas.microsoft.com/office/2011/relationships/chartStyle" Target="style12.xml"/></Relationships>
</file>

<file path=xl/charts/_rels/chart13.xml.rels><?xml version="1.0" encoding="UTF-8" standalone="yes"?>
<Relationships xmlns="http://schemas.openxmlformats.org/package/2006/relationships"><Relationship Id="rId2" Type="http://schemas.microsoft.com/office/2011/relationships/chartColorStyle" Target="colors13.xml"/><Relationship Id="rId1" Type="http://schemas.microsoft.com/office/2011/relationships/chartStyle" Target="style13.xml"/></Relationships>
</file>

<file path=xl/charts/_rels/chart14.xml.rels><?xml version="1.0" encoding="UTF-8" standalone="yes"?>
<Relationships xmlns="http://schemas.openxmlformats.org/package/2006/relationships"><Relationship Id="rId2" Type="http://schemas.microsoft.com/office/2011/relationships/chartColorStyle" Target="colors14.xml"/><Relationship Id="rId1" Type="http://schemas.microsoft.com/office/2011/relationships/chartStyle" Target="style14.xml"/></Relationships>
</file>

<file path=xl/charts/_rels/chart15.xml.rels><?xml version="1.0" encoding="UTF-8" standalone="yes"?>
<Relationships xmlns="http://schemas.openxmlformats.org/package/2006/relationships"><Relationship Id="rId2" Type="http://schemas.microsoft.com/office/2011/relationships/chartColorStyle" Target="colors15.xml"/><Relationship Id="rId1" Type="http://schemas.microsoft.com/office/2011/relationships/chartStyle" Target="style15.xml"/></Relationships>
</file>

<file path=xl/charts/_rels/chart16.xml.rels><?xml version="1.0" encoding="UTF-8" standalone="yes"?>
<Relationships xmlns="http://schemas.openxmlformats.org/package/2006/relationships"><Relationship Id="rId2" Type="http://schemas.microsoft.com/office/2011/relationships/chartColorStyle" Target="colors16.xml"/><Relationship Id="rId1" Type="http://schemas.microsoft.com/office/2011/relationships/chartStyle" Target="style16.xml"/></Relationships>
</file>

<file path=xl/charts/_rels/chart17.xml.rels><?xml version="1.0" encoding="UTF-8" standalone="yes"?>
<Relationships xmlns="http://schemas.openxmlformats.org/package/2006/relationships"><Relationship Id="rId2" Type="http://schemas.microsoft.com/office/2011/relationships/chartColorStyle" Target="colors17.xml"/><Relationship Id="rId1" Type="http://schemas.microsoft.com/office/2011/relationships/chartStyle" Target="style17.xml"/></Relationships>
</file>

<file path=xl/charts/_rels/chart18.xml.rels><?xml version="1.0" encoding="UTF-8" standalone="yes"?>
<Relationships xmlns="http://schemas.openxmlformats.org/package/2006/relationships"><Relationship Id="rId2" Type="http://schemas.microsoft.com/office/2011/relationships/chartColorStyle" Target="colors18.xml"/><Relationship Id="rId1" Type="http://schemas.microsoft.com/office/2011/relationships/chartStyle" Target="style18.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7.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_rels/chart8.xml.rels><?xml version="1.0" encoding="UTF-8" standalone="yes"?>
<Relationships xmlns="http://schemas.openxmlformats.org/package/2006/relationships"><Relationship Id="rId2" Type="http://schemas.microsoft.com/office/2011/relationships/chartColorStyle" Target="colors8.xml"/><Relationship Id="rId1" Type="http://schemas.microsoft.com/office/2011/relationships/chartStyle" Target="style8.xml"/></Relationships>
</file>

<file path=xl/charts/_rels/chart9.xml.rels><?xml version="1.0" encoding="UTF-8" standalone="yes"?>
<Relationships xmlns="http://schemas.openxmlformats.org/package/2006/relationships"><Relationship Id="rId2" Type="http://schemas.microsoft.com/office/2011/relationships/chartColorStyle" Target="colors9.xml"/><Relationship Id="rId1" Type="http://schemas.microsoft.com/office/2011/relationships/chartStyle" Target="style9.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960" b="1" i="0" u="none" strike="noStrike" kern="1200" spc="0" baseline="0">
                <a:solidFill>
                  <a:srgbClr val="2B956A"/>
                </a:solidFill>
                <a:latin typeface="Ebrima" panose="02000000000000000000" pitchFamily="2" charset="0"/>
                <a:ea typeface="Ebrima" panose="02000000000000000000" pitchFamily="2" charset="0"/>
                <a:cs typeface="Ebrima" panose="02000000000000000000" pitchFamily="2" charset="0"/>
              </a:defRPr>
            </a:pPr>
            <a:r>
              <a:rPr lang="fr-FR" b="1">
                <a:solidFill>
                  <a:srgbClr val="2B956A"/>
                </a:solidFill>
              </a:rPr>
              <a:t>Evolution de l'autofinancement</a:t>
            </a:r>
          </a:p>
        </c:rich>
      </c:tx>
      <c:overlay val="0"/>
      <c:spPr>
        <a:noFill/>
        <a:ln>
          <a:noFill/>
        </a:ln>
        <a:effectLst/>
      </c:spPr>
      <c:txPr>
        <a:bodyPr rot="0" spcFirstLastPara="1" vertOverflow="ellipsis" vert="horz" wrap="square" anchor="ctr" anchorCtr="1"/>
        <a:lstStyle/>
        <a:p>
          <a:pPr>
            <a:defRPr sz="960" b="1" i="0" u="none" strike="noStrike" kern="1200" spc="0" baseline="0">
              <a:solidFill>
                <a:srgbClr val="2B956A"/>
              </a:solidFill>
              <a:latin typeface="Ebrima" panose="02000000000000000000" pitchFamily="2" charset="0"/>
              <a:ea typeface="Ebrima" panose="02000000000000000000" pitchFamily="2" charset="0"/>
              <a:cs typeface="Ebrima" panose="02000000000000000000" pitchFamily="2" charset="0"/>
            </a:defRPr>
          </a:pPr>
          <a:endParaRPr lang="fr-FR"/>
        </a:p>
      </c:txPr>
    </c:title>
    <c:autoTitleDeleted val="0"/>
    <c:plotArea>
      <c:layout>
        <c:manualLayout>
          <c:layoutTarget val="inner"/>
          <c:xMode val="edge"/>
          <c:yMode val="edge"/>
          <c:x val="8.2599326750178129E-2"/>
          <c:y val="0.33270909415020516"/>
          <c:w val="0.9089099856327294"/>
          <c:h val="0.50351798149784288"/>
        </c:manualLayout>
      </c:layout>
      <c:lineChart>
        <c:grouping val="standard"/>
        <c:varyColors val="0"/>
        <c:ser>
          <c:idx val="0"/>
          <c:order val="0"/>
          <c:tx>
            <c:strRef>
              <c:f>'2-Section de Fonctionnement'!$A$48</c:f>
              <c:strCache>
                <c:ptCount val="1"/>
                <c:pt idx="0">
                  <c:v>Capacité d'autofinancement brute (hors non récurrent)</c:v>
                </c:pt>
              </c:strCache>
            </c:strRef>
          </c:tx>
          <c:spPr>
            <a:ln w="28575" cap="rnd">
              <a:solidFill>
                <a:schemeClr val="accent1"/>
              </a:solidFill>
              <a:round/>
            </a:ln>
            <a:effectLst/>
          </c:spPr>
          <c:marker>
            <c:symbol val="circle"/>
            <c:size val="5"/>
            <c:spPr>
              <a:solidFill>
                <a:schemeClr val="accent1"/>
              </a:solidFill>
              <a:ln w="9525">
                <a:solidFill>
                  <a:schemeClr val="accent1"/>
                </a:solidFill>
              </a:ln>
              <a:effectLst/>
            </c:spPr>
          </c:marker>
          <c:cat>
            <c:numRef>
              <c:extLst>
                <c:ext xmlns:c15="http://schemas.microsoft.com/office/drawing/2012/chart" uri="{02D57815-91ED-43cb-92C2-25804820EDAC}">
                  <c15:fullRef>
                    <c15:sqref>'2-Section de Fonctionnement'!$B$46:$M$46</c15:sqref>
                  </c15:fullRef>
                </c:ext>
              </c:extLst>
              <c:f>'2-Section de Fonctionnement'!$C$46:$F$46</c:f>
              <c:numCache>
                <c:formatCode>General</c:formatCode>
                <c:ptCount val="4"/>
                <c:pt idx="0">
                  <c:v>0</c:v>
                </c:pt>
                <c:pt idx="1">
                  <c:v>1</c:v>
                </c:pt>
                <c:pt idx="2">
                  <c:v>2</c:v>
                </c:pt>
                <c:pt idx="3">
                  <c:v>3</c:v>
                </c:pt>
              </c:numCache>
            </c:numRef>
          </c:cat>
          <c:val>
            <c:numRef>
              <c:extLst>
                <c:ext xmlns:c15="http://schemas.microsoft.com/office/drawing/2012/chart" uri="{02D57815-91ED-43cb-92C2-25804820EDAC}">
                  <c15:fullRef>
                    <c15:sqref>'2-Section de Fonctionnement'!$B$48:$M$48</c15:sqref>
                  </c15:fullRef>
                </c:ext>
              </c:extLst>
              <c:f>'2-Section de Fonctionnement'!$C$48:$F$48</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0-5F80-4D4E-B572-83F7E77FCA22}"/>
            </c:ext>
          </c:extLst>
        </c:ser>
        <c:ser>
          <c:idx val="1"/>
          <c:order val="1"/>
          <c:tx>
            <c:strRef>
              <c:f>'2-Section de Fonctionnement'!$A$53</c:f>
              <c:strCache>
                <c:ptCount val="1"/>
                <c:pt idx="0">
                  <c:v>Remboursement du capital de la dette</c:v>
                </c:pt>
              </c:strCache>
            </c:strRef>
          </c:tx>
          <c:spPr>
            <a:ln w="28575" cap="rnd">
              <a:solidFill>
                <a:schemeClr val="accent2"/>
              </a:solidFill>
              <a:round/>
            </a:ln>
            <a:effectLst/>
          </c:spPr>
          <c:marker>
            <c:symbol val="circle"/>
            <c:size val="5"/>
            <c:spPr>
              <a:solidFill>
                <a:schemeClr val="accent2"/>
              </a:solidFill>
              <a:ln w="9525">
                <a:solidFill>
                  <a:schemeClr val="accent2"/>
                </a:solidFill>
              </a:ln>
              <a:effectLst/>
            </c:spPr>
          </c:marker>
          <c:cat>
            <c:numRef>
              <c:extLst>
                <c:ext xmlns:c15="http://schemas.microsoft.com/office/drawing/2012/chart" uri="{02D57815-91ED-43cb-92C2-25804820EDAC}">
                  <c15:fullRef>
                    <c15:sqref>'2-Section de Fonctionnement'!$B$46:$M$46</c15:sqref>
                  </c15:fullRef>
                </c:ext>
              </c:extLst>
              <c:f>'2-Section de Fonctionnement'!$C$46:$F$46</c:f>
              <c:numCache>
                <c:formatCode>General</c:formatCode>
                <c:ptCount val="4"/>
                <c:pt idx="0">
                  <c:v>0</c:v>
                </c:pt>
                <c:pt idx="1">
                  <c:v>1</c:v>
                </c:pt>
                <c:pt idx="2">
                  <c:v>2</c:v>
                </c:pt>
                <c:pt idx="3">
                  <c:v>3</c:v>
                </c:pt>
              </c:numCache>
            </c:numRef>
          </c:cat>
          <c:val>
            <c:numRef>
              <c:extLst>
                <c:ext xmlns:c15="http://schemas.microsoft.com/office/drawing/2012/chart" uri="{02D57815-91ED-43cb-92C2-25804820EDAC}">
                  <c15:fullRef>
                    <c15:sqref>'2-Section de Fonctionnement'!$B$53:$M$53</c15:sqref>
                  </c15:fullRef>
                </c:ext>
              </c:extLst>
              <c:f>'2-Section de Fonctionnement'!$C$53:$F$53</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1-5F80-4D4E-B572-83F7E77FCA22}"/>
            </c:ext>
          </c:extLst>
        </c:ser>
        <c:dLbls>
          <c:showLegendKey val="0"/>
          <c:showVal val="0"/>
          <c:showCatName val="0"/>
          <c:showSerName val="0"/>
          <c:showPercent val="0"/>
          <c:showBubbleSize val="0"/>
        </c:dLbls>
        <c:marker val="1"/>
        <c:smooth val="0"/>
        <c:axId val="449552976"/>
        <c:axId val="449556816"/>
      </c:lineChart>
      <c:catAx>
        <c:axId val="44955297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1380000" spcFirstLastPara="1" vertOverflow="ellipsis" wrap="square" anchor="ctr" anchorCtr="1"/>
          <a:lstStyle/>
          <a:p>
            <a:pPr>
              <a:defRPr sz="800" b="0" i="0" u="none" strike="noStrike" kern="1200" baseline="0">
                <a:solidFill>
                  <a:schemeClr val="tx1">
                    <a:lumMod val="95000"/>
                    <a:lumOff val="5000"/>
                  </a:schemeClr>
                </a:solidFill>
                <a:latin typeface="Ebrima" panose="02000000000000000000" pitchFamily="2" charset="0"/>
                <a:ea typeface="Ebrima" panose="02000000000000000000" pitchFamily="2" charset="0"/>
                <a:cs typeface="Ebrima" panose="02000000000000000000" pitchFamily="2" charset="0"/>
              </a:defRPr>
            </a:pPr>
            <a:endParaRPr lang="fr-FR"/>
          </a:p>
        </c:txPr>
        <c:crossAx val="449556816"/>
        <c:crosses val="autoZero"/>
        <c:auto val="1"/>
        <c:lblAlgn val="ctr"/>
        <c:lblOffset val="100"/>
        <c:noMultiLvlLbl val="0"/>
      </c:catAx>
      <c:valAx>
        <c:axId val="449556816"/>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800" b="0" i="0" u="none" strike="noStrike" kern="1200" baseline="0">
                <a:solidFill>
                  <a:schemeClr val="tx1">
                    <a:lumMod val="95000"/>
                    <a:lumOff val="5000"/>
                  </a:schemeClr>
                </a:solidFill>
                <a:latin typeface="Ebrima" panose="02000000000000000000" pitchFamily="2" charset="0"/>
                <a:ea typeface="Ebrima" panose="02000000000000000000" pitchFamily="2" charset="0"/>
                <a:cs typeface="Ebrima" panose="02000000000000000000" pitchFamily="2" charset="0"/>
              </a:defRPr>
            </a:pPr>
            <a:endParaRPr lang="fr-FR"/>
          </a:p>
        </c:txPr>
        <c:crossAx val="449552976"/>
        <c:crosses val="autoZero"/>
        <c:crossBetween val="between"/>
      </c:valAx>
      <c:spPr>
        <a:noFill/>
        <a:ln>
          <a:noFill/>
        </a:ln>
        <a:effectLst/>
      </c:spPr>
    </c:plotArea>
    <c:legend>
      <c:legendPos val="t"/>
      <c:layout>
        <c:manualLayout>
          <c:xMode val="edge"/>
          <c:yMode val="edge"/>
          <c:x val="9.4022344587765871E-2"/>
          <c:y val="0.13762891066772001"/>
          <c:w val="0.88627283687934988"/>
          <c:h val="0.19532176161109233"/>
        </c:manualLayout>
      </c:layout>
      <c:overlay val="0"/>
      <c:spPr>
        <a:noFill/>
        <a:ln>
          <a:noFill/>
        </a:ln>
        <a:effectLst/>
      </c:spPr>
      <c:txPr>
        <a:bodyPr rot="0" spcFirstLastPara="1" vertOverflow="ellipsis" vert="horz" wrap="square" anchor="ctr" anchorCtr="1"/>
        <a:lstStyle/>
        <a:p>
          <a:pPr>
            <a:defRPr sz="800" b="0" i="0" u="none" strike="noStrike" kern="1200" baseline="0">
              <a:solidFill>
                <a:schemeClr val="tx1">
                  <a:lumMod val="95000"/>
                  <a:lumOff val="5000"/>
                </a:schemeClr>
              </a:solidFill>
              <a:latin typeface="Ebrima" panose="02000000000000000000" pitchFamily="2" charset="0"/>
              <a:ea typeface="Ebrima" panose="02000000000000000000" pitchFamily="2" charset="0"/>
              <a:cs typeface="Ebrima" panose="02000000000000000000" pitchFamily="2" charset="0"/>
            </a:defRPr>
          </a:pPr>
          <a:endParaRPr lang="fr-FR"/>
        </a:p>
      </c:txPr>
    </c:legend>
    <c:plotVisOnly val="1"/>
    <c:dispBlanksAs val="gap"/>
    <c:showDLblsOverMax val="0"/>
  </c:chart>
  <c:spPr>
    <a:solidFill>
      <a:schemeClr val="bg1"/>
    </a:solidFill>
    <a:ln w="9525" cap="flat" cmpd="sng" algn="ctr">
      <a:noFill/>
      <a:round/>
    </a:ln>
    <a:effectLst/>
  </c:spPr>
  <c:txPr>
    <a:bodyPr/>
    <a:lstStyle/>
    <a:p>
      <a:pPr>
        <a:defRPr sz="800">
          <a:solidFill>
            <a:schemeClr val="tx1">
              <a:lumMod val="95000"/>
              <a:lumOff val="5000"/>
            </a:schemeClr>
          </a:solidFill>
          <a:latin typeface="Ebrima" panose="02000000000000000000" pitchFamily="2" charset="0"/>
          <a:ea typeface="Ebrima" panose="02000000000000000000" pitchFamily="2" charset="0"/>
          <a:cs typeface="Ebrima" panose="02000000000000000000" pitchFamily="2" charset="0"/>
        </a:defRPr>
      </a:pPr>
      <a:endParaRPr lang="fr-FR"/>
    </a:p>
  </c:txPr>
  <c:printSettings>
    <c:headerFooter/>
    <c:pageMargins b="0.75" l="0.7" r="0.7" t="0.75" header="0.3" footer="0.3"/>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960" b="1" i="0" u="none" strike="noStrike" kern="1200" spc="0" baseline="0">
              <a:solidFill>
                <a:srgbClr val="2B956A"/>
              </a:solidFill>
              <a:latin typeface="Ebrima" panose="02000000000000000000" pitchFamily="2" charset="0"/>
              <a:ea typeface="Ebrima" panose="02000000000000000000" pitchFamily="2" charset="0"/>
              <a:cs typeface="Ebrima" panose="02000000000000000000" pitchFamily="2" charset="0"/>
            </a:defRPr>
          </a:pPr>
          <a:endParaRPr lang="fr-FR"/>
        </a:p>
      </c:txPr>
    </c:title>
    <c:autoTitleDeleted val="0"/>
    <c:plotArea>
      <c:layout/>
      <c:barChart>
        <c:barDir val="col"/>
        <c:grouping val="clustered"/>
        <c:varyColors val="0"/>
        <c:ser>
          <c:idx val="0"/>
          <c:order val="0"/>
          <c:tx>
            <c:strRef>
              <c:f>'2-Section de Fonctionnement'!$A$51</c:f>
              <c:strCache>
                <c:ptCount val="1"/>
                <c:pt idx="0">
                  <c:v>Taux d'épargne brute</c:v>
                </c:pt>
              </c:strCache>
            </c:strRef>
          </c:tx>
          <c:spPr>
            <a:solidFill>
              <a:schemeClr val="accent1"/>
            </a:solidFill>
            <a:ln>
              <a:noFill/>
            </a:ln>
            <a:effectLst/>
          </c:spPr>
          <c:invertIfNegative val="0"/>
          <c:cat>
            <c:numRef>
              <c:extLst>
                <c:ext xmlns:c15="http://schemas.microsoft.com/office/drawing/2012/chart" uri="{02D57815-91ED-43cb-92C2-25804820EDAC}">
                  <c15:fullRef>
                    <c15:sqref>'2-Section de Fonctionnement'!$B$46:$M$46</c15:sqref>
                  </c15:fullRef>
                </c:ext>
              </c:extLst>
              <c:f>('2-Section de Fonctionnement'!$C$46:$F$46,'2-Section de Fonctionnement'!$H$46:$M$46)</c:f>
              <c:numCache>
                <c:formatCode>General</c:formatCode>
                <c:ptCount val="10"/>
                <c:pt idx="0">
                  <c:v>0</c:v>
                </c:pt>
                <c:pt idx="1">
                  <c:v>1</c:v>
                </c:pt>
                <c:pt idx="2">
                  <c:v>2</c:v>
                </c:pt>
                <c:pt idx="3">
                  <c:v>3</c:v>
                </c:pt>
                <c:pt idx="4">
                  <c:v>4</c:v>
                </c:pt>
                <c:pt idx="5">
                  <c:v>5</c:v>
                </c:pt>
                <c:pt idx="6">
                  <c:v>6</c:v>
                </c:pt>
                <c:pt idx="7">
                  <c:v>7</c:v>
                </c:pt>
                <c:pt idx="8">
                  <c:v>8</c:v>
                </c:pt>
                <c:pt idx="9">
                  <c:v>9</c:v>
                </c:pt>
              </c:numCache>
            </c:numRef>
          </c:cat>
          <c:val>
            <c:numRef>
              <c:extLst>
                <c:ext xmlns:c15="http://schemas.microsoft.com/office/drawing/2012/chart" uri="{02D57815-91ED-43cb-92C2-25804820EDAC}">
                  <c15:fullRef>
                    <c15:sqref>'2-Section de Fonctionnement'!$B$51:$M$51</c15:sqref>
                  </c15:fullRef>
                </c:ext>
              </c:extLst>
              <c:f>('2-Section de Fonctionnement'!$C$51:$F$51,'2-Section de Fonctionnement'!$H$51:$M$51)</c:f>
              <c:numCache>
                <c:formatCode>0.0%</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0AF0-4D06-9B2B-9106D74066BC}"/>
            </c:ext>
          </c:extLst>
        </c:ser>
        <c:dLbls>
          <c:showLegendKey val="0"/>
          <c:showVal val="0"/>
          <c:showCatName val="0"/>
          <c:showSerName val="0"/>
          <c:showPercent val="0"/>
          <c:showBubbleSize val="0"/>
        </c:dLbls>
        <c:gapWidth val="219"/>
        <c:overlap val="-27"/>
        <c:axId val="911954496"/>
        <c:axId val="911960736"/>
      </c:barChart>
      <c:catAx>
        <c:axId val="91195449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800" b="0" i="0" u="none" strike="noStrike" kern="1200" baseline="0">
                <a:solidFill>
                  <a:schemeClr val="tx1">
                    <a:lumMod val="95000"/>
                    <a:lumOff val="5000"/>
                  </a:schemeClr>
                </a:solidFill>
                <a:latin typeface="Ebrima" panose="02000000000000000000" pitchFamily="2" charset="0"/>
                <a:ea typeface="Ebrima" panose="02000000000000000000" pitchFamily="2" charset="0"/>
                <a:cs typeface="Ebrima" panose="02000000000000000000" pitchFamily="2" charset="0"/>
              </a:defRPr>
            </a:pPr>
            <a:endParaRPr lang="fr-FR"/>
          </a:p>
        </c:txPr>
        <c:crossAx val="911960736"/>
        <c:crosses val="autoZero"/>
        <c:auto val="1"/>
        <c:lblAlgn val="ctr"/>
        <c:lblOffset val="100"/>
        <c:noMultiLvlLbl val="0"/>
      </c:catAx>
      <c:valAx>
        <c:axId val="911960736"/>
        <c:scaling>
          <c:orientation val="minMax"/>
        </c:scaling>
        <c:delete val="0"/>
        <c:axPos val="l"/>
        <c:majorGridlines>
          <c:spPr>
            <a:ln w="9525" cap="flat" cmpd="sng" algn="ctr">
              <a:solidFill>
                <a:schemeClr val="tx1">
                  <a:lumMod val="15000"/>
                  <a:lumOff val="85000"/>
                </a:schemeClr>
              </a:solidFill>
              <a:round/>
            </a:ln>
            <a:effectLst/>
          </c:spPr>
        </c:majorGridlines>
        <c:numFmt formatCode="0.0%" sourceLinked="0"/>
        <c:majorTickMark val="none"/>
        <c:minorTickMark val="none"/>
        <c:tickLblPos val="nextTo"/>
        <c:spPr>
          <a:noFill/>
          <a:ln>
            <a:noFill/>
          </a:ln>
          <a:effectLst/>
        </c:spPr>
        <c:txPr>
          <a:bodyPr rot="-60000000" spcFirstLastPara="1" vertOverflow="ellipsis" vert="horz" wrap="square" anchor="ctr" anchorCtr="1"/>
          <a:lstStyle/>
          <a:p>
            <a:pPr>
              <a:defRPr sz="800" b="0" i="0" u="none" strike="noStrike" kern="1200" baseline="0">
                <a:solidFill>
                  <a:schemeClr val="tx1">
                    <a:lumMod val="95000"/>
                    <a:lumOff val="5000"/>
                  </a:schemeClr>
                </a:solidFill>
                <a:latin typeface="Ebrima" panose="02000000000000000000" pitchFamily="2" charset="0"/>
                <a:ea typeface="Ebrima" panose="02000000000000000000" pitchFamily="2" charset="0"/>
                <a:cs typeface="Ebrima" panose="02000000000000000000" pitchFamily="2" charset="0"/>
              </a:defRPr>
            </a:pPr>
            <a:endParaRPr lang="fr-FR"/>
          </a:p>
        </c:txPr>
        <c:crossAx val="911954496"/>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sz="800">
          <a:solidFill>
            <a:schemeClr val="tx1">
              <a:lumMod val="95000"/>
              <a:lumOff val="5000"/>
            </a:schemeClr>
          </a:solidFill>
          <a:latin typeface="Ebrima" panose="02000000000000000000" pitchFamily="2" charset="0"/>
          <a:ea typeface="Ebrima" panose="02000000000000000000" pitchFamily="2" charset="0"/>
          <a:cs typeface="Ebrima" panose="02000000000000000000" pitchFamily="2" charset="0"/>
        </a:defRPr>
      </a:pPr>
      <a:endParaRPr lang="fr-FR"/>
    </a:p>
  </c:tx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lgn="ctr" rtl="0">
              <a:defRPr lang="fr-FR" sz="960" b="1" i="0" u="none" strike="noStrike" kern="1200" spc="0" baseline="0">
                <a:solidFill>
                  <a:srgbClr val="0070C0"/>
                </a:solidFill>
                <a:latin typeface="Ebrima" panose="02000000000000000000" pitchFamily="2" charset="0"/>
                <a:ea typeface="Ebrima" panose="02000000000000000000" pitchFamily="2" charset="0"/>
                <a:cs typeface="Ebrima" panose="02000000000000000000" pitchFamily="2" charset="0"/>
              </a:defRPr>
            </a:pPr>
            <a:r>
              <a:rPr lang="fr-FR" sz="960" b="1" i="0" u="none" strike="noStrike" kern="1200" spc="0" baseline="0">
                <a:solidFill>
                  <a:srgbClr val="0070C0"/>
                </a:solidFill>
                <a:latin typeface="Ebrima" panose="02000000000000000000" pitchFamily="2" charset="0"/>
                <a:ea typeface="Ebrima" panose="02000000000000000000" pitchFamily="2" charset="0"/>
                <a:cs typeface="Ebrima" panose="02000000000000000000" pitchFamily="2" charset="0"/>
              </a:rPr>
              <a:t>Encours de dette au 31/12/</a:t>
            </a:r>
          </a:p>
        </c:rich>
      </c:tx>
      <c:layout>
        <c:manualLayout>
          <c:xMode val="edge"/>
          <c:yMode val="edge"/>
          <c:x val="0.25996690919964122"/>
          <c:y val="3.709314289588999E-2"/>
        </c:manualLayout>
      </c:layout>
      <c:overlay val="0"/>
      <c:spPr>
        <a:noFill/>
        <a:ln>
          <a:noFill/>
        </a:ln>
        <a:effectLst/>
      </c:spPr>
      <c:txPr>
        <a:bodyPr rot="0" spcFirstLastPara="1" vertOverflow="ellipsis" vert="horz" wrap="square" anchor="ctr" anchorCtr="1"/>
        <a:lstStyle/>
        <a:p>
          <a:pPr algn="ctr" rtl="0">
            <a:defRPr lang="fr-FR" sz="960" b="1" i="0" u="none" strike="noStrike" kern="1200" spc="0" baseline="0">
              <a:solidFill>
                <a:srgbClr val="0070C0"/>
              </a:solidFill>
              <a:latin typeface="Ebrima" panose="02000000000000000000" pitchFamily="2" charset="0"/>
              <a:ea typeface="Ebrima" panose="02000000000000000000" pitchFamily="2" charset="0"/>
              <a:cs typeface="Ebrima" panose="02000000000000000000" pitchFamily="2" charset="0"/>
            </a:defRPr>
          </a:pPr>
          <a:endParaRPr lang="fr-FR"/>
        </a:p>
      </c:txPr>
    </c:title>
    <c:autoTitleDeleted val="0"/>
    <c:plotArea>
      <c:layout/>
      <c:areaChart>
        <c:grouping val="stacked"/>
        <c:varyColors val="0"/>
        <c:ser>
          <c:idx val="0"/>
          <c:order val="0"/>
          <c:tx>
            <c:strRef>
              <c:f>'4-Section d''Investissement'!$A$52</c:f>
              <c:strCache>
                <c:ptCount val="1"/>
                <c:pt idx="0">
                  <c:v>Encours de dette au 31/12/</c:v>
                </c:pt>
              </c:strCache>
            </c:strRef>
          </c:tx>
          <c:spPr>
            <a:solidFill>
              <a:schemeClr val="accent1"/>
            </a:solidFill>
            <a:ln>
              <a:noFill/>
            </a:ln>
            <a:effectLst/>
          </c:spPr>
          <c:cat>
            <c:numRef>
              <c:extLst>
                <c:ext xmlns:c15="http://schemas.microsoft.com/office/drawing/2012/chart" uri="{02D57815-91ED-43cb-92C2-25804820EDAC}">
                  <c15:fullRef>
                    <c15:sqref>'4-Section d''Investissement'!$B$44:$L$44</c15:sqref>
                  </c15:fullRef>
                </c:ext>
              </c:extLst>
              <c:f>('4-Section d''Investissement'!$B$44:$E$44,'4-Section d''Investissement'!$G$44:$L$44)</c:f>
              <c:numCache>
                <c:formatCode>General</c:formatCode>
                <c:ptCount val="10"/>
                <c:pt idx="0">
                  <c:v>0</c:v>
                </c:pt>
                <c:pt idx="1">
                  <c:v>1</c:v>
                </c:pt>
                <c:pt idx="2">
                  <c:v>2</c:v>
                </c:pt>
                <c:pt idx="3">
                  <c:v>3</c:v>
                </c:pt>
                <c:pt idx="4">
                  <c:v>4</c:v>
                </c:pt>
                <c:pt idx="5">
                  <c:v>5</c:v>
                </c:pt>
                <c:pt idx="6">
                  <c:v>6</c:v>
                </c:pt>
                <c:pt idx="7">
                  <c:v>7</c:v>
                </c:pt>
                <c:pt idx="8">
                  <c:v>8</c:v>
                </c:pt>
                <c:pt idx="9">
                  <c:v>9</c:v>
                </c:pt>
              </c:numCache>
            </c:numRef>
          </c:cat>
          <c:val>
            <c:numRef>
              <c:extLst>
                <c:ext xmlns:c15="http://schemas.microsoft.com/office/drawing/2012/chart" uri="{02D57815-91ED-43cb-92C2-25804820EDAC}">
                  <c15:fullRef>
                    <c15:sqref>'4-Section d''Investissement'!$B$52:$L$52</c15:sqref>
                  </c15:fullRef>
                </c:ext>
              </c:extLst>
              <c:f>('4-Section d''Investissement'!$B$52:$E$52,'4-Section d''Investissement'!$G$52:$L$52)</c:f>
              <c:numCache>
                <c:formatCode>#,##0</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1D39-44DB-8C53-7D8F058D96F9}"/>
            </c:ext>
          </c:extLst>
        </c:ser>
        <c:dLbls>
          <c:showLegendKey val="0"/>
          <c:showVal val="0"/>
          <c:showCatName val="0"/>
          <c:showSerName val="0"/>
          <c:showPercent val="0"/>
          <c:showBubbleSize val="0"/>
        </c:dLbls>
        <c:axId val="963943984"/>
        <c:axId val="963953584"/>
      </c:areaChart>
      <c:catAx>
        <c:axId val="963943984"/>
        <c:scaling>
          <c:orientation val="minMax"/>
        </c:scaling>
        <c:delete val="0"/>
        <c:axPos val="b"/>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800" b="0" i="0" u="none" strike="noStrike" kern="1200" baseline="0">
                <a:solidFill>
                  <a:schemeClr val="tx1">
                    <a:lumMod val="95000"/>
                    <a:lumOff val="5000"/>
                  </a:schemeClr>
                </a:solidFill>
                <a:latin typeface="Ebrima" panose="02000000000000000000" pitchFamily="2" charset="0"/>
                <a:ea typeface="Ebrima" panose="02000000000000000000" pitchFamily="2" charset="0"/>
                <a:cs typeface="Ebrima" panose="02000000000000000000" pitchFamily="2" charset="0"/>
              </a:defRPr>
            </a:pPr>
            <a:endParaRPr lang="fr-FR"/>
          </a:p>
        </c:txPr>
        <c:crossAx val="963953584"/>
        <c:crosses val="autoZero"/>
        <c:auto val="1"/>
        <c:lblAlgn val="ctr"/>
        <c:lblOffset val="100"/>
        <c:noMultiLvlLbl val="0"/>
      </c:catAx>
      <c:valAx>
        <c:axId val="963953584"/>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800" b="0" i="0" u="none" strike="noStrike" kern="1200" baseline="0">
                <a:solidFill>
                  <a:schemeClr val="tx1">
                    <a:lumMod val="95000"/>
                    <a:lumOff val="5000"/>
                  </a:schemeClr>
                </a:solidFill>
                <a:latin typeface="Ebrima" panose="02000000000000000000" pitchFamily="2" charset="0"/>
                <a:ea typeface="Ebrima" panose="02000000000000000000" pitchFamily="2" charset="0"/>
                <a:cs typeface="Ebrima" panose="02000000000000000000" pitchFamily="2" charset="0"/>
              </a:defRPr>
            </a:pPr>
            <a:endParaRPr lang="fr-FR"/>
          </a:p>
        </c:txPr>
        <c:crossAx val="963943984"/>
        <c:crosses val="autoZero"/>
        <c:crossBetween val="midCat"/>
      </c:valAx>
      <c:spPr>
        <a:noFill/>
        <a:ln>
          <a:noFill/>
        </a:ln>
        <a:effectLst/>
      </c:spPr>
    </c:plotArea>
    <c:plotVisOnly val="1"/>
    <c:dispBlanksAs val="zero"/>
    <c:showDLblsOverMax val="0"/>
  </c:chart>
  <c:spPr>
    <a:solidFill>
      <a:schemeClr val="bg1"/>
    </a:solidFill>
    <a:ln w="9525" cap="flat" cmpd="sng" algn="ctr">
      <a:solidFill>
        <a:schemeClr val="tx1">
          <a:lumMod val="15000"/>
          <a:lumOff val="85000"/>
        </a:schemeClr>
      </a:solidFill>
      <a:round/>
    </a:ln>
    <a:effectLst/>
  </c:spPr>
  <c:txPr>
    <a:bodyPr/>
    <a:lstStyle/>
    <a:p>
      <a:pPr>
        <a:defRPr sz="800">
          <a:solidFill>
            <a:schemeClr val="tx1">
              <a:lumMod val="95000"/>
              <a:lumOff val="5000"/>
            </a:schemeClr>
          </a:solidFill>
          <a:latin typeface="Ebrima" panose="02000000000000000000" pitchFamily="2" charset="0"/>
          <a:ea typeface="Ebrima" panose="02000000000000000000" pitchFamily="2" charset="0"/>
          <a:cs typeface="Ebrima" panose="02000000000000000000" pitchFamily="2" charset="0"/>
        </a:defRPr>
      </a:pPr>
      <a:endParaRPr lang="fr-FR"/>
    </a:p>
  </c:txPr>
  <c:printSettings>
    <c:headerFooter/>
    <c:pageMargins b="0.75" l="0.7" r="0.7" t="0.75" header="0.3" footer="0.3"/>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lgn="ctr" rtl="0">
              <a:defRPr lang="fr-FR" sz="960" b="1" i="0" u="none" strike="noStrike" kern="1200" spc="0" baseline="0">
                <a:solidFill>
                  <a:srgbClr val="0070C0"/>
                </a:solidFill>
                <a:latin typeface="Ebrima" panose="02000000000000000000" pitchFamily="2" charset="0"/>
                <a:ea typeface="Ebrima" panose="02000000000000000000" pitchFamily="2" charset="0"/>
                <a:cs typeface="Ebrima" panose="02000000000000000000" pitchFamily="2" charset="0"/>
              </a:defRPr>
            </a:pPr>
            <a:r>
              <a:rPr lang="fr-FR" sz="960" b="1" i="0" u="none" strike="noStrike" kern="1200" spc="0" baseline="0">
                <a:solidFill>
                  <a:srgbClr val="0070C0"/>
                </a:solidFill>
                <a:latin typeface="Ebrima" panose="02000000000000000000" pitchFamily="2" charset="0"/>
                <a:ea typeface="Ebrima" panose="02000000000000000000" pitchFamily="2" charset="0"/>
                <a:cs typeface="Ebrima" panose="02000000000000000000" pitchFamily="2" charset="0"/>
              </a:rPr>
              <a:t>Fonds de roulement au 31/12</a:t>
            </a:r>
          </a:p>
        </c:rich>
      </c:tx>
      <c:layout>
        <c:manualLayout>
          <c:xMode val="edge"/>
          <c:yMode val="edge"/>
          <c:x val="0.26683459277917715"/>
          <c:y val="6.2597809076682318E-3"/>
        </c:manualLayout>
      </c:layout>
      <c:overlay val="0"/>
      <c:spPr>
        <a:noFill/>
        <a:ln>
          <a:noFill/>
        </a:ln>
        <a:effectLst/>
      </c:spPr>
      <c:txPr>
        <a:bodyPr rot="0" spcFirstLastPara="1" vertOverflow="ellipsis" vert="horz" wrap="square" anchor="ctr" anchorCtr="1"/>
        <a:lstStyle/>
        <a:p>
          <a:pPr algn="ctr" rtl="0">
            <a:defRPr lang="fr-FR" sz="960" b="1" i="0" u="none" strike="noStrike" kern="1200" spc="0" baseline="0">
              <a:solidFill>
                <a:srgbClr val="0070C0"/>
              </a:solidFill>
              <a:latin typeface="Ebrima" panose="02000000000000000000" pitchFamily="2" charset="0"/>
              <a:ea typeface="Ebrima" panose="02000000000000000000" pitchFamily="2" charset="0"/>
              <a:cs typeface="Ebrima" panose="02000000000000000000" pitchFamily="2" charset="0"/>
            </a:defRPr>
          </a:pPr>
          <a:endParaRPr lang="fr-FR"/>
        </a:p>
      </c:txPr>
    </c:title>
    <c:autoTitleDeleted val="0"/>
    <c:plotArea>
      <c:layout/>
      <c:areaChart>
        <c:grouping val="stacked"/>
        <c:varyColors val="0"/>
        <c:ser>
          <c:idx val="0"/>
          <c:order val="0"/>
          <c:tx>
            <c:strRef>
              <c:f>'4-Section d''Investissement'!$A$49</c:f>
              <c:strCache>
                <c:ptCount val="1"/>
                <c:pt idx="0">
                  <c:v>Fonds de roulement au 31/12/ =(A-B+C)</c:v>
                </c:pt>
              </c:strCache>
            </c:strRef>
          </c:tx>
          <c:spPr>
            <a:solidFill>
              <a:schemeClr val="accent1"/>
            </a:solidFill>
            <a:ln>
              <a:noFill/>
            </a:ln>
            <a:effectLst/>
          </c:spPr>
          <c:cat>
            <c:numRef>
              <c:extLst>
                <c:ext xmlns:c15="http://schemas.microsoft.com/office/drawing/2012/chart" uri="{02D57815-91ED-43cb-92C2-25804820EDAC}">
                  <c15:fullRef>
                    <c15:sqref>'4-Section d''Investissement'!$B$44:$L$44</c15:sqref>
                  </c15:fullRef>
                </c:ext>
              </c:extLst>
              <c:f>('4-Section d''Investissement'!$B$44:$E$44,'4-Section d''Investissement'!$G$44:$L$44)</c:f>
              <c:numCache>
                <c:formatCode>General</c:formatCode>
                <c:ptCount val="10"/>
                <c:pt idx="0">
                  <c:v>0</c:v>
                </c:pt>
                <c:pt idx="1">
                  <c:v>1</c:v>
                </c:pt>
                <c:pt idx="2">
                  <c:v>2</c:v>
                </c:pt>
                <c:pt idx="3">
                  <c:v>3</c:v>
                </c:pt>
                <c:pt idx="4">
                  <c:v>4</c:v>
                </c:pt>
                <c:pt idx="5">
                  <c:v>5</c:v>
                </c:pt>
                <c:pt idx="6">
                  <c:v>6</c:v>
                </c:pt>
                <c:pt idx="7">
                  <c:v>7</c:v>
                </c:pt>
                <c:pt idx="8">
                  <c:v>8</c:v>
                </c:pt>
                <c:pt idx="9">
                  <c:v>9</c:v>
                </c:pt>
              </c:numCache>
            </c:numRef>
          </c:cat>
          <c:val>
            <c:numRef>
              <c:extLst>
                <c:ext xmlns:c15="http://schemas.microsoft.com/office/drawing/2012/chart" uri="{02D57815-91ED-43cb-92C2-25804820EDAC}">
                  <c15:fullRef>
                    <c15:sqref>'4-Section d''Investissement'!$B$49:$L$49</c15:sqref>
                  </c15:fullRef>
                </c:ext>
              </c:extLst>
              <c:f>('4-Section d''Investissement'!$B$49:$E$49,'4-Section d''Investissement'!$G$49:$L$49)</c:f>
              <c:numCache>
                <c:formatCode>#,##0</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2A63-4A04-92C5-E74B185DC261}"/>
            </c:ext>
          </c:extLst>
        </c:ser>
        <c:dLbls>
          <c:showLegendKey val="0"/>
          <c:showVal val="0"/>
          <c:showCatName val="0"/>
          <c:showSerName val="0"/>
          <c:showPercent val="0"/>
          <c:showBubbleSize val="0"/>
        </c:dLbls>
        <c:axId val="911953056"/>
        <c:axId val="911953536"/>
      </c:areaChart>
      <c:catAx>
        <c:axId val="911953056"/>
        <c:scaling>
          <c:orientation val="minMax"/>
        </c:scaling>
        <c:delete val="0"/>
        <c:axPos val="b"/>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800" b="0" i="0" u="none" strike="noStrike" kern="1200" baseline="0">
                <a:solidFill>
                  <a:schemeClr val="tx1">
                    <a:lumMod val="95000"/>
                    <a:lumOff val="5000"/>
                  </a:schemeClr>
                </a:solidFill>
                <a:latin typeface="Ebrima" panose="02000000000000000000" pitchFamily="2" charset="0"/>
                <a:ea typeface="Ebrima" panose="02000000000000000000" pitchFamily="2" charset="0"/>
                <a:cs typeface="Ebrima" panose="02000000000000000000" pitchFamily="2" charset="0"/>
              </a:defRPr>
            </a:pPr>
            <a:endParaRPr lang="fr-FR"/>
          </a:p>
        </c:txPr>
        <c:crossAx val="911953536"/>
        <c:crosses val="autoZero"/>
        <c:auto val="1"/>
        <c:lblAlgn val="ctr"/>
        <c:lblOffset val="100"/>
        <c:noMultiLvlLbl val="0"/>
      </c:catAx>
      <c:valAx>
        <c:axId val="911953536"/>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800" b="0" i="0" u="none" strike="noStrike" kern="1200" baseline="0">
                <a:solidFill>
                  <a:schemeClr val="tx1">
                    <a:lumMod val="95000"/>
                    <a:lumOff val="5000"/>
                  </a:schemeClr>
                </a:solidFill>
                <a:latin typeface="Ebrima" panose="02000000000000000000" pitchFamily="2" charset="0"/>
                <a:ea typeface="Ebrima" panose="02000000000000000000" pitchFamily="2" charset="0"/>
                <a:cs typeface="Ebrima" panose="02000000000000000000" pitchFamily="2" charset="0"/>
              </a:defRPr>
            </a:pPr>
            <a:endParaRPr lang="fr-FR"/>
          </a:p>
        </c:txPr>
        <c:crossAx val="911953056"/>
        <c:crosses val="autoZero"/>
        <c:crossBetween val="midCat"/>
      </c:valAx>
      <c:spPr>
        <a:noFill/>
        <a:ln>
          <a:noFill/>
        </a:ln>
        <a:effectLst/>
      </c:spPr>
    </c:plotArea>
    <c:plotVisOnly val="1"/>
    <c:dispBlanksAs val="zero"/>
    <c:showDLblsOverMax val="0"/>
  </c:chart>
  <c:spPr>
    <a:solidFill>
      <a:schemeClr val="bg1"/>
    </a:solidFill>
    <a:ln w="9525" cap="flat" cmpd="sng" algn="ctr">
      <a:solidFill>
        <a:schemeClr val="tx1">
          <a:lumMod val="15000"/>
          <a:lumOff val="85000"/>
        </a:schemeClr>
      </a:solidFill>
      <a:round/>
    </a:ln>
    <a:effectLst/>
  </c:spPr>
  <c:txPr>
    <a:bodyPr/>
    <a:lstStyle/>
    <a:p>
      <a:pPr>
        <a:defRPr sz="800">
          <a:solidFill>
            <a:schemeClr val="tx1">
              <a:lumMod val="95000"/>
              <a:lumOff val="5000"/>
            </a:schemeClr>
          </a:solidFill>
          <a:latin typeface="Ebrima" panose="02000000000000000000" pitchFamily="2" charset="0"/>
          <a:ea typeface="Ebrima" panose="02000000000000000000" pitchFamily="2" charset="0"/>
          <a:cs typeface="Ebrima" panose="02000000000000000000" pitchFamily="2" charset="0"/>
        </a:defRPr>
      </a:pPr>
      <a:endParaRPr lang="fr-FR"/>
    </a:p>
  </c:txPr>
  <c:printSettings>
    <c:headerFooter/>
    <c:pageMargins b="0.75" l="0.7" r="0.7" t="0.75" header="0.3" footer="0.3"/>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lgn="ctr" rtl="0">
              <a:defRPr lang="en-US" sz="960" b="1" i="0" u="none" strike="noStrike" kern="1200" spc="0" baseline="0">
                <a:solidFill>
                  <a:srgbClr val="2B956A"/>
                </a:solidFill>
                <a:latin typeface="Ebrima" panose="02000000000000000000" pitchFamily="2" charset="0"/>
                <a:ea typeface="Ebrima" panose="02000000000000000000" pitchFamily="2" charset="0"/>
                <a:cs typeface="Ebrima" panose="02000000000000000000" pitchFamily="2" charset="0"/>
              </a:defRPr>
            </a:pPr>
            <a:r>
              <a:rPr lang="fr-FR"/>
              <a:t>Les</a:t>
            </a:r>
            <a:r>
              <a:rPr lang="fr-FR" baseline="0"/>
              <a:t> d</a:t>
            </a:r>
            <a:r>
              <a:rPr lang="fr-FR"/>
              <a:t>épenses réelles d'investissement</a:t>
            </a:r>
          </a:p>
        </c:rich>
      </c:tx>
      <c:overlay val="0"/>
      <c:spPr>
        <a:noFill/>
        <a:ln>
          <a:noFill/>
        </a:ln>
        <a:effectLst/>
      </c:spPr>
      <c:txPr>
        <a:bodyPr rot="0" spcFirstLastPara="1" vertOverflow="ellipsis" vert="horz" wrap="square" anchor="ctr" anchorCtr="1"/>
        <a:lstStyle/>
        <a:p>
          <a:pPr algn="ctr" rtl="0">
            <a:defRPr lang="en-US" sz="960" b="1" i="0" u="none" strike="noStrike" kern="1200" spc="0" baseline="0">
              <a:solidFill>
                <a:srgbClr val="2B956A"/>
              </a:solidFill>
              <a:latin typeface="Ebrima" panose="02000000000000000000" pitchFamily="2" charset="0"/>
              <a:ea typeface="Ebrima" panose="02000000000000000000" pitchFamily="2" charset="0"/>
              <a:cs typeface="Ebrima" panose="02000000000000000000" pitchFamily="2" charset="0"/>
            </a:defRPr>
          </a:pPr>
          <a:endParaRPr lang="fr-FR"/>
        </a:p>
      </c:txPr>
    </c:title>
    <c:autoTitleDeleted val="0"/>
    <c:plotArea>
      <c:layout/>
      <c:barChart>
        <c:barDir val="col"/>
        <c:grouping val="clustered"/>
        <c:varyColors val="0"/>
        <c:ser>
          <c:idx val="0"/>
          <c:order val="0"/>
          <c:tx>
            <c:strRef>
              <c:f>'4-Section d''Investissement'!$A$15</c:f>
              <c:strCache>
                <c:ptCount val="1"/>
                <c:pt idx="0">
                  <c:v>Total des dépenses réelles d'investissement</c:v>
                </c:pt>
              </c:strCache>
            </c:strRef>
          </c:tx>
          <c:spPr>
            <a:solidFill>
              <a:schemeClr val="accent1"/>
            </a:solidFill>
            <a:ln>
              <a:noFill/>
            </a:ln>
            <a:effectLst/>
          </c:spPr>
          <c:invertIfNegative val="0"/>
          <c:cat>
            <c:numRef>
              <c:f>('4-Section d''Investissement'!$B$14:$E$14,'4-Section d''Investissement'!$G$14:$L$14)</c:f>
              <c:numCache>
                <c:formatCode>General</c:formatCode>
                <c:ptCount val="10"/>
                <c:pt idx="0">
                  <c:v>0</c:v>
                </c:pt>
                <c:pt idx="1">
                  <c:v>1</c:v>
                </c:pt>
                <c:pt idx="2">
                  <c:v>2</c:v>
                </c:pt>
                <c:pt idx="3">
                  <c:v>3</c:v>
                </c:pt>
                <c:pt idx="4">
                  <c:v>4</c:v>
                </c:pt>
                <c:pt idx="5">
                  <c:v>5</c:v>
                </c:pt>
                <c:pt idx="6">
                  <c:v>6</c:v>
                </c:pt>
                <c:pt idx="7">
                  <c:v>7</c:v>
                </c:pt>
                <c:pt idx="8">
                  <c:v>8</c:v>
                </c:pt>
                <c:pt idx="9">
                  <c:v>9</c:v>
                </c:pt>
              </c:numCache>
            </c:numRef>
          </c:cat>
          <c:val>
            <c:numRef>
              <c:f>('4-Section d''Investissement'!$B$15:$E$15,'4-Section d''Investissement'!$G$15:$L$15)</c:f>
              <c:numCache>
                <c:formatCode>#,##0</c:formatCode>
                <c:ptCount val="10"/>
                <c:pt idx="4">
                  <c:v>0</c:v>
                </c:pt>
                <c:pt idx="5">
                  <c:v>0</c:v>
                </c:pt>
                <c:pt idx="6">
                  <c:v>0</c:v>
                </c:pt>
                <c:pt idx="7">
                  <c:v>0</c:v>
                </c:pt>
                <c:pt idx="8">
                  <c:v>0</c:v>
                </c:pt>
                <c:pt idx="9">
                  <c:v>0</c:v>
                </c:pt>
              </c:numCache>
            </c:numRef>
          </c:val>
          <c:extLst>
            <c:ext xmlns:c16="http://schemas.microsoft.com/office/drawing/2014/chart" uri="{C3380CC4-5D6E-409C-BE32-E72D297353CC}">
              <c16:uniqueId val="{00000000-0857-48E4-B520-02A167F9A410}"/>
            </c:ext>
          </c:extLst>
        </c:ser>
        <c:dLbls>
          <c:showLegendKey val="0"/>
          <c:showVal val="0"/>
          <c:showCatName val="0"/>
          <c:showSerName val="0"/>
          <c:showPercent val="0"/>
          <c:showBubbleSize val="0"/>
        </c:dLbls>
        <c:gapWidth val="219"/>
        <c:overlap val="-27"/>
        <c:axId val="963946384"/>
        <c:axId val="963946864"/>
      </c:barChart>
      <c:catAx>
        <c:axId val="96394638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800" b="0" i="0" u="none" strike="noStrike" kern="1200" baseline="0">
                <a:solidFill>
                  <a:schemeClr val="tx1">
                    <a:lumMod val="95000"/>
                    <a:lumOff val="5000"/>
                  </a:schemeClr>
                </a:solidFill>
                <a:latin typeface="Ebrima" panose="02000000000000000000" pitchFamily="2" charset="0"/>
                <a:ea typeface="Ebrima" panose="02000000000000000000" pitchFamily="2" charset="0"/>
                <a:cs typeface="Ebrima" panose="02000000000000000000" pitchFamily="2" charset="0"/>
              </a:defRPr>
            </a:pPr>
            <a:endParaRPr lang="fr-FR"/>
          </a:p>
        </c:txPr>
        <c:crossAx val="963946864"/>
        <c:crosses val="autoZero"/>
        <c:auto val="1"/>
        <c:lblAlgn val="ctr"/>
        <c:lblOffset val="100"/>
        <c:noMultiLvlLbl val="0"/>
      </c:catAx>
      <c:valAx>
        <c:axId val="963946864"/>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800" b="0" i="0" u="none" strike="noStrike" kern="1200" baseline="0">
                <a:solidFill>
                  <a:schemeClr val="tx1">
                    <a:lumMod val="95000"/>
                    <a:lumOff val="5000"/>
                  </a:schemeClr>
                </a:solidFill>
                <a:latin typeface="Ebrima" panose="02000000000000000000" pitchFamily="2" charset="0"/>
                <a:ea typeface="Ebrima" panose="02000000000000000000" pitchFamily="2" charset="0"/>
                <a:cs typeface="Ebrima" panose="02000000000000000000" pitchFamily="2" charset="0"/>
              </a:defRPr>
            </a:pPr>
            <a:endParaRPr lang="fr-FR"/>
          </a:p>
        </c:txPr>
        <c:crossAx val="963946384"/>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sz="800">
          <a:solidFill>
            <a:schemeClr val="tx1">
              <a:lumMod val="95000"/>
              <a:lumOff val="5000"/>
            </a:schemeClr>
          </a:solidFill>
          <a:latin typeface="Ebrima" panose="02000000000000000000" pitchFamily="2" charset="0"/>
          <a:ea typeface="Ebrima" panose="02000000000000000000" pitchFamily="2" charset="0"/>
          <a:cs typeface="Ebrima" panose="02000000000000000000" pitchFamily="2" charset="0"/>
        </a:defRPr>
      </a:pPr>
      <a:endParaRPr lang="fr-FR"/>
    </a:p>
  </c:txPr>
  <c:printSettings>
    <c:headerFooter/>
    <c:pageMargins b="0.75" l="0.7" r="0.7" t="0.75" header="0.3" footer="0.3"/>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lineChart>
        <c:grouping val="standard"/>
        <c:varyColors val="0"/>
        <c:ser>
          <c:idx val="0"/>
          <c:order val="0"/>
          <c:tx>
            <c:strRef>
              <c:f>'7-Graphiques'!$A$55</c:f>
              <c:strCache>
                <c:ptCount val="1"/>
                <c:pt idx="0">
                  <c:v>Charges de personnel</c:v>
                </c:pt>
              </c:strCache>
            </c:strRef>
          </c:tx>
          <c:spPr>
            <a:ln w="28575" cap="rnd">
              <a:solidFill>
                <a:schemeClr val="accent1"/>
              </a:solidFill>
              <a:round/>
            </a:ln>
            <a:effectLst/>
          </c:spPr>
          <c:marker>
            <c:symbol val="none"/>
          </c:marker>
          <c:cat>
            <c:numRef>
              <c:f>'7-Graphiques'!$B$54:$K$54</c:f>
              <c:numCache>
                <c:formatCode>General</c:formatCode>
                <c:ptCount val="10"/>
                <c:pt idx="0">
                  <c:v>2022</c:v>
                </c:pt>
                <c:pt idx="1">
                  <c:v>2023</c:v>
                </c:pt>
                <c:pt idx="2">
                  <c:v>2024</c:v>
                </c:pt>
                <c:pt idx="3">
                  <c:v>2025</c:v>
                </c:pt>
                <c:pt idx="4">
                  <c:v>2026</c:v>
                </c:pt>
                <c:pt idx="5">
                  <c:v>2027</c:v>
                </c:pt>
                <c:pt idx="6">
                  <c:v>2028</c:v>
                </c:pt>
                <c:pt idx="7">
                  <c:v>2029</c:v>
                </c:pt>
                <c:pt idx="8">
                  <c:v>2030</c:v>
                </c:pt>
                <c:pt idx="9">
                  <c:v>2031</c:v>
                </c:pt>
              </c:numCache>
            </c:numRef>
          </c:cat>
          <c:val>
            <c:numRef>
              <c:f>'7-Graphiques'!$B$55:$K$55</c:f>
              <c:numCache>
                <c:formatCode>#,##0</c:formatCode>
                <c:ptCount val="10"/>
                <c:pt idx="0">
                  <c:v>0</c:v>
                </c:pt>
                <c:pt idx="1">
                  <c:v>0</c:v>
                </c:pt>
                <c:pt idx="2">
                  <c:v>0</c:v>
                </c:pt>
                <c:pt idx="3">
                  <c:v>0</c:v>
                </c:pt>
                <c:pt idx="4">
                  <c:v>0</c:v>
                </c:pt>
                <c:pt idx="5">
                  <c:v>0</c:v>
                </c:pt>
                <c:pt idx="6">
                  <c:v>0</c:v>
                </c:pt>
                <c:pt idx="7">
                  <c:v>0</c:v>
                </c:pt>
                <c:pt idx="8">
                  <c:v>0</c:v>
                </c:pt>
                <c:pt idx="9">
                  <c:v>0</c:v>
                </c:pt>
              </c:numCache>
            </c:numRef>
          </c:val>
          <c:smooth val="0"/>
          <c:extLst>
            <c:ext xmlns:c16="http://schemas.microsoft.com/office/drawing/2014/chart" uri="{C3380CC4-5D6E-409C-BE32-E72D297353CC}">
              <c16:uniqueId val="{00000000-3EA3-44B2-A1FE-4E417EF33BCC}"/>
            </c:ext>
          </c:extLst>
        </c:ser>
        <c:ser>
          <c:idx val="1"/>
          <c:order val="1"/>
          <c:tx>
            <c:strRef>
              <c:f>'7-Graphiques'!$A$56</c:f>
              <c:strCache>
                <c:ptCount val="1"/>
                <c:pt idx="0">
                  <c:v>Taxe foncière et taxe d'habitation</c:v>
                </c:pt>
              </c:strCache>
            </c:strRef>
          </c:tx>
          <c:spPr>
            <a:ln w="28575" cap="rnd">
              <a:solidFill>
                <a:schemeClr val="accent2"/>
              </a:solidFill>
              <a:round/>
            </a:ln>
            <a:effectLst/>
          </c:spPr>
          <c:marker>
            <c:symbol val="none"/>
          </c:marker>
          <c:cat>
            <c:numRef>
              <c:f>'7-Graphiques'!$B$54:$K$54</c:f>
              <c:numCache>
                <c:formatCode>General</c:formatCode>
                <c:ptCount val="10"/>
                <c:pt idx="0">
                  <c:v>2022</c:v>
                </c:pt>
                <c:pt idx="1">
                  <c:v>2023</c:v>
                </c:pt>
                <c:pt idx="2">
                  <c:v>2024</c:v>
                </c:pt>
                <c:pt idx="3">
                  <c:v>2025</c:v>
                </c:pt>
                <c:pt idx="4">
                  <c:v>2026</c:v>
                </c:pt>
                <c:pt idx="5">
                  <c:v>2027</c:v>
                </c:pt>
                <c:pt idx="6">
                  <c:v>2028</c:v>
                </c:pt>
                <c:pt idx="7">
                  <c:v>2029</c:v>
                </c:pt>
                <c:pt idx="8">
                  <c:v>2030</c:v>
                </c:pt>
                <c:pt idx="9">
                  <c:v>2031</c:v>
                </c:pt>
              </c:numCache>
            </c:numRef>
          </c:cat>
          <c:val>
            <c:numRef>
              <c:f>'7-Graphiques'!$B$56:$K$56</c:f>
              <c:numCache>
                <c:formatCode>#,##0</c:formatCode>
                <c:ptCount val="10"/>
                <c:pt idx="0">
                  <c:v>0</c:v>
                </c:pt>
                <c:pt idx="1">
                  <c:v>0</c:v>
                </c:pt>
                <c:pt idx="2">
                  <c:v>0</c:v>
                </c:pt>
                <c:pt idx="3">
                  <c:v>0</c:v>
                </c:pt>
                <c:pt idx="4">
                  <c:v>0</c:v>
                </c:pt>
                <c:pt idx="5">
                  <c:v>0</c:v>
                </c:pt>
                <c:pt idx="6">
                  <c:v>0</c:v>
                </c:pt>
                <c:pt idx="7">
                  <c:v>0</c:v>
                </c:pt>
                <c:pt idx="8">
                  <c:v>0</c:v>
                </c:pt>
                <c:pt idx="9">
                  <c:v>0</c:v>
                </c:pt>
              </c:numCache>
            </c:numRef>
          </c:val>
          <c:smooth val="0"/>
          <c:extLst>
            <c:ext xmlns:c16="http://schemas.microsoft.com/office/drawing/2014/chart" uri="{C3380CC4-5D6E-409C-BE32-E72D297353CC}">
              <c16:uniqueId val="{00000001-3EA3-44B2-A1FE-4E417EF33BCC}"/>
            </c:ext>
          </c:extLst>
        </c:ser>
        <c:dLbls>
          <c:showLegendKey val="0"/>
          <c:showVal val="0"/>
          <c:showCatName val="0"/>
          <c:showSerName val="0"/>
          <c:showPercent val="0"/>
          <c:showBubbleSize val="0"/>
        </c:dLbls>
        <c:smooth val="0"/>
        <c:axId val="1119120800"/>
        <c:axId val="1119131360"/>
      </c:lineChart>
      <c:catAx>
        <c:axId val="111912080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800" b="0" i="0" u="none" strike="noStrike" kern="1200" baseline="0">
                <a:solidFill>
                  <a:schemeClr val="tx1"/>
                </a:solidFill>
                <a:latin typeface="Ebrima" panose="02000000000000000000" pitchFamily="2" charset="0"/>
                <a:ea typeface="Ebrima" panose="02000000000000000000" pitchFamily="2" charset="0"/>
                <a:cs typeface="Ebrima" panose="02000000000000000000" pitchFamily="2" charset="0"/>
              </a:defRPr>
            </a:pPr>
            <a:endParaRPr lang="fr-FR"/>
          </a:p>
        </c:txPr>
        <c:crossAx val="1119131360"/>
        <c:crosses val="autoZero"/>
        <c:auto val="1"/>
        <c:lblAlgn val="ctr"/>
        <c:lblOffset val="100"/>
        <c:noMultiLvlLbl val="0"/>
      </c:catAx>
      <c:valAx>
        <c:axId val="1119131360"/>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800" b="0" i="0" u="none" strike="noStrike" kern="1200" baseline="0">
                <a:solidFill>
                  <a:schemeClr val="tx1"/>
                </a:solidFill>
                <a:latin typeface="Ebrima" panose="02000000000000000000" pitchFamily="2" charset="0"/>
                <a:ea typeface="Ebrima" panose="02000000000000000000" pitchFamily="2" charset="0"/>
                <a:cs typeface="Ebrima" panose="02000000000000000000" pitchFamily="2" charset="0"/>
              </a:defRPr>
            </a:pPr>
            <a:endParaRPr lang="fr-FR"/>
          </a:p>
        </c:txPr>
        <c:crossAx val="1119120800"/>
        <c:crosses val="autoZero"/>
        <c:crossBetween val="between"/>
      </c:valAx>
      <c:spPr>
        <a:noFill/>
        <a:ln>
          <a:noFill/>
        </a:ln>
        <a:effectLst/>
      </c:spPr>
    </c:plotArea>
    <c:legend>
      <c:legendPos val="t"/>
      <c:overlay val="0"/>
      <c:spPr>
        <a:noFill/>
        <a:ln>
          <a:noFill/>
        </a:ln>
        <a:effectLst/>
      </c:spPr>
      <c:txPr>
        <a:bodyPr rot="0" spcFirstLastPara="1" vertOverflow="ellipsis" vert="horz" wrap="square" anchor="ctr" anchorCtr="1"/>
        <a:lstStyle/>
        <a:p>
          <a:pPr>
            <a:defRPr sz="800" b="0" i="0" u="none" strike="noStrike" kern="1200" baseline="0">
              <a:solidFill>
                <a:schemeClr val="tx1"/>
              </a:solidFill>
              <a:latin typeface="Ebrima" panose="02000000000000000000" pitchFamily="2" charset="0"/>
              <a:ea typeface="Ebrima" panose="02000000000000000000" pitchFamily="2" charset="0"/>
              <a:cs typeface="Ebrima" panose="02000000000000000000" pitchFamily="2" charset="0"/>
            </a:defRPr>
          </a:pPr>
          <a:endParaRPr lang="fr-FR"/>
        </a:p>
      </c:txPr>
    </c:legend>
    <c:plotVisOnly val="0"/>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sz="800">
          <a:solidFill>
            <a:schemeClr val="tx1"/>
          </a:solidFill>
          <a:latin typeface="Ebrima" panose="02000000000000000000" pitchFamily="2" charset="0"/>
          <a:ea typeface="Ebrima" panose="02000000000000000000" pitchFamily="2" charset="0"/>
          <a:cs typeface="Ebrima" panose="02000000000000000000" pitchFamily="2" charset="0"/>
        </a:defRPr>
      </a:pPr>
      <a:endParaRPr lang="fr-FR"/>
    </a:p>
  </c:txPr>
  <c:printSettings>
    <c:headerFooter/>
    <c:pageMargins b="0.75" l="0.7" r="0.7" t="0.75" header="0.3" footer="0.3"/>
    <c:pageSetup orientation="portrait"/>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lgn="ctr" rtl="0">
              <a:defRPr lang="fr-FR" sz="960" b="1" i="0" u="none" strike="noStrike" kern="1200" spc="0" baseline="0">
                <a:solidFill>
                  <a:srgbClr val="0070C0"/>
                </a:solidFill>
                <a:latin typeface="Ebrima" panose="02000000000000000000" pitchFamily="2" charset="0"/>
                <a:ea typeface="Ebrima" panose="02000000000000000000" pitchFamily="2" charset="0"/>
                <a:cs typeface="Ebrima" panose="02000000000000000000" pitchFamily="2" charset="0"/>
              </a:defRPr>
            </a:pPr>
            <a:r>
              <a:rPr lang="fr-FR" sz="960" b="1" i="0" u="none" strike="noStrike" baseline="0">
                <a:effectLst/>
              </a:rPr>
              <a:t>Annuité de la dette (remboursement et coût)</a:t>
            </a:r>
            <a:endParaRPr lang="fr-FR" sz="960" b="1" i="0" u="none" strike="noStrike" kern="1200" spc="0" baseline="0">
              <a:solidFill>
                <a:srgbClr val="0070C0"/>
              </a:solidFill>
              <a:latin typeface="Ebrima" panose="02000000000000000000" pitchFamily="2" charset="0"/>
              <a:ea typeface="Ebrima" panose="02000000000000000000" pitchFamily="2" charset="0"/>
              <a:cs typeface="Ebrima" panose="02000000000000000000" pitchFamily="2" charset="0"/>
            </a:endParaRPr>
          </a:p>
        </c:rich>
      </c:tx>
      <c:overlay val="0"/>
      <c:spPr>
        <a:noFill/>
        <a:ln>
          <a:noFill/>
        </a:ln>
        <a:effectLst/>
      </c:spPr>
      <c:txPr>
        <a:bodyPr rot="0" spcFirstLastPara="1" vertOverflow="ellipsis" vert="horz" wrap="square" anchor="ctr" anchorCtr="1"/>
        <a:lstStyle/>
        <a:p>
          <a:pPr algn="ctr" rtl="0">
            <a:defRPr lang="fr-FR" sz="960" b="1" i="0" u="none" strike="noStrike" kern="1200" spc="0" baseline="0">
              <a:solidFill>
                <a:srgbClr val="0070C0"/>
              </a:solidFill>
              <a:latin typeface="Ebrima" panose="02000000000000000000" pitchFamily="2" charset="0"/>
              <a:ea typeface="Ebrima" panose="02000000000000000000" pitchFamily="2" charset="0"/>
              <a:cs typeface="Ebrima" panose="02000000000000000000" pitchFamily="2" charset="0"/>
            </a:defRPr>
          </a:pPr>
          <a:endParaRPr lang="fr-FR"/>
        </a:p>
      </c:txPr>
    </c:title>
    <c:autoTitleDeleted val="0"/>
    <c:plotArea>
      <c:layout/>
      <c:barChart>
        <c:barDir val="col"/>
        <c:grouping val="stacked"/>
        <c:varyColors val="0"/>
        <c:ser>
          <c:idx val="0"/>
          <c:order val="0"/>
          <c:tx>
            <c:strRef>
              <c:f>'2-Section de Fonctionnement'!$A$12</c:f>
              <c:strCache>
                <c:ptCount val="1"/>
                <c:pt idx="0">
                  <c:v>Charges financières (intérêts de la dette)</c:v>
                </c:pt>
              </c:strCache>
            </c:strRef>
          </c:tx>
          <c:spPr>
            <a:solidFill>
              <a:schemeClr val="accent1"/>
            </a:solidFill>
            <a:ln>
              <a:noFill/>
            </a:ln>
            <a:effectLst/>
          </c:spPr>
          <c:invertIfNegative val="0"/>
          <c:cat>
            <c:numRef>
              <c:extLst>
                <c:ext xmlns:c15="http://schemas.microsoft.com/office/drawing/2012/chart" uri="{02D57815-91ED-43cb-92C2-25804820EDAC}">
                  <c15:fullRef>
                    <c15:sqref>'2-Section de Fonctionnement'!$C$46:$M$46</c15:sqref>
                  </c15:fullRef>
                </c:ext>
              </c:extLst>
              <c:f>('2-Section de Fonctionnement'!$D$46:$F$46,'2-Section de Fonctionnement'!$H$46:$M$46)</c:f>
              <c:numCache>
                <c:formatCode>General</c:formatCode>
                <c:ptCount val="9"/>
                <c:pt idx="0">
                  <c:v>1</c:v>
                </c:pt>
                <c:pt idx="1">
                  <c:v>2</c:v>
                </c:pt>
                <c:pt idx="2">
                  <c:v>3</c:v>
                </c:pt>
                <c:pt idx="3">
                  <c:v>4</c:v>
                </c:pt>
                <c:pt idx="4">
                  <c:v>5</c:v>
                </c:pt>
                <c:pt idx="5">
                  <c:v>6</c:v>
                </c:pt>
                <c:pt idx="6">
                  <c:v>7</c:v>
                </c:pt>
                <c:pt idx="7">
                  <c:v>8</c:v>
                </c:pt>
                <c:pt idx="8">
                  <c:v>9</c:v>
                </c:pt>
              </c:numCache>
            </c:numRef>
          </c:cat>
          <c:val>
            <c:numRef>
              <c:extLst>
                <c:ext xmlns:c15="http://schemas.microsoft.com/office/drawing/2012/chart" uri="{02D57815-91ED-43cb-92C2-25804820EDAC}">
                  <c15:fullRef>
                    <c15:sqref>'2-Section de Fonctionnement'!$C$12:$M$12</c15:sqref>
                  </c15:fullRef>
                </c:ext>
              </c:extLst>
              <c:f>('2-Section de Fonctionnement'!$D$12:$F$12,'2-Section de Fonctionnement'!$H$12:$M$12)</c:f>
              <c:numCache>
                <c:formatCode>#,##0</c:formatCode>
                <c:ptCount val="9"/>
                <c:pt idx="3">
                  <c:v>0</c:v>
                </c:pt>
                <c:pt idx="4">
                  <c:v>0</c:v>
                </c:pt>
                <c:pt idx="5">
                  <c:v>0</c:v>
                </c:pt>
                <c:pt idx="6">
                  <c:v>0</c:v>
                </c:pt>
                <c:pt idx="7">
                  <c:v>0</c:v>
                </c:pt>
                <c:pt idx="8">
                  <c:v>0</c:v>
                </c:pt>
              </c:numCache>
            </c:numRef>
          </c:val>
          <c:extLst>
            <c:ext xmlns:c16="http://schemas.microsoft.com/office/drawing/2014/chart" uri="{C3380CC4-5D6E-409C-BE32-E72D297353CC}">
              <c16:uniqueId val="{00000000-991E-4269-A87A-3D162C238AB2}"/>
            </c:ext>
          </c:extLst>
        </c:ser>
        <c:ser>
          <c:idx val="1"/>
          <c:order val="1"/>
          <c:tx>
            <c:strRef>
              <c:f>'2-Section de Fonctionnement'!$A$53</c:f>
              <c:strCache>
                <c:ptCount val="1"/>
                <c:pt idx="0">
                  <c:v>Remboursement du capital de la dette</c:v>
                </c:pt>
              </c:strCache>
            </c:strRef>
          </c:tx>
          <c:spPr>
            <a:solidFill>
              <a:schemeClr val="accent2"/>
            </a:solidFill>
            <a:ln>
              <a:noFill/>
            </a:ln>
            <a:effectLst/>
          </c:spPr>
          <c:invertIfNegative val="0"/>
          <c:cat>
            <c:numRef>
              <c:extLst>
                <c:ext xmlns:c15="http://schemas.microsoft.com/office/drawing/2012/chart" uri="{02D57815-91ED-43cb-92C2-25804820EDAC}">
                  <c15:fullRef>
                    <c15:sqref>'2-Section de Fonctionnement'!$C$46:$M$46</c15:sqref>
                  </c15:fullRef>
                </c:ext>
              </c:extLst>
              <c:f>('2-Section de Fonctionnement'!$D$46:$F$46,'2-Section de Fonctionnement'!$H$46:$M$46)</c:f>
              <c:numCache>
                <c:formatCode>General</c:formatCode>
                <c:ptCount val="9"/>
                <c:pt idx="0">
                  <c:v>1</c:v>
                </c:pt>
                <c:pt idx="1">
                  <c:v>2</c:v>
                </c:pt>
                <c:pt idx="2">
                  <c:v>3</c:v>
                </c:pt>
                <c:pt idx="3">
                  <c:v>4</c:v>
                </c:pt>
                <c:pt idx="4">
                  <c:v>5</c:v>
                </c:pt>
                <c:pt idx="5">
                  <c:v>6</c:v>
                </c:pt>
                <c:pt idx="6">
                  <c:v>7</c:v>
                </c:pt>
                <c:pt idx="7">
                  <c:v>8</c:v>
                </c:pt>
                <c:pt idx="8">
                  <c:v>9</c:v>
                </c:pt>
              </c:numCache>
            </c:numRef>
          </c:cat>
          <c:val>
            <c:numRef>
              <c:extLst>
                <c:ext xmlns:c15="http://schemas.microsoft.com/office/drawing/2012/chart" uri="{02D57815-91ED-43cb-92C2-25804820EDAC}">
                  <c15:fullRef>
                    <c15:sqref>'2-Section de Fonctionnement'!$C$53:$M$53</c15:sqref>
                  </c15:fullRef>
                </c:ext>
              </c:extLst>
              <c:f>('2-Section de Fonctionnement'!$D$53:$F$53,'2-Section de Fonctionnement'!$H$53:$M$53)</c:f>
              <c:numCache>
                <c:formatCode>#,##0</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01-991E-4269-A87A-3D162C238AB2}"/>
            </c:ext>
          </c:extLst>
        </c:ser>
        <c:dLbls>
          <c:showLegendKey val="0"/>
          <c:showVal val="0"/>
          <c:showCatName val="0"/>
          <c:showSerName val="0"/>
          <c:showPercent val="0"/>
          <c:showBubbleSize val="0"/>
        </c:dLbls>
        <c:gapWidth val="150"/>
        <c:overlap val="100"/>
        <c:axId val="2042946815"/>
        <c:axId val="2042939135"/>
      </c:barChart>
      <c:catAx>
        <c:axId val="2042946815"/>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800" b="0" i="0" u="none" strike="noStrike" kern="1200" baseline="0">
                <a:solidFill>
                  <a:schemeClr val="tx1">
                    <a:lumMod val="95000"/>
                    <a:lumOff val="5000"/>
                  </a:schemeClr>
                </a:solidFill>
                <a:latin typeface="Ebrima" panose="02000000000000000000" pitchFamily="2" charset="0"/>
                <a:ea typeface="Ebrima" panose="02000000000000000000" pitchFamily="2" charset="0"/>
                <a:cs typeface="Ebrima" panose="02000000000000000000" pitchFamily="2" charset="0"/>
              </a:defRPr>
            </a:pPr>
            <a:endParaRPr lang="fr-FR"/>
          </a:p>
        </c:txPr>
        <c:crossAx val="2042939135"/>
        <c:crosses val="autoZero"/>
        <c:auto val="1"/>
        <c:lblAlgn val="ctr"/>
        <c:lblOffset val="100"/>
        <c:noMultiLvlLbl val="0"/>
      </c:catAx>
      <c:valAx>
        <c:axId val="2042939135"/>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800" b="0" i="0" u="none" strike="noStrike" kern="1200" baseline="0">
                <a:solidFill>
                  <a:schemeClr val="tx1">
                    <a:lumMod val="95000"/>
                    <a:lumOff val="5000"/>
                  </a:schemeClr>
                </a:solidFill>
                <a:latin typeface="Ebrima" panose="02000000000000000000" pitchFamily="2" charset="0"/>
                <a:ea typeface="Ebrima" panose="02000000000000000000" pitchFamily="2" charset="0"/>
                <a:cs typeface="Ebrima" panose="02000000000000000000" pitchFamily="2" charset="0"/>
              </a:defRPr>
            </a:pPr>
            <a:endParaRPr lang="fr-FR"/>
          </a:p>
        </c:txPr>
        <c:crossAx val="2042946815"/>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800" b="0" i="0" u="none" strike="noStrike" kern="1200" baseline="0">
              <a:solidFill>
                <a:schemeClr val="tx1">
                  <a:lumMod val="95000"/>
                  <a:lumOff val="5000"/>
                </a:schemeClr>
              </a:solidFill>
              <a:latin typeface="Ebrima" panose="02000000000000000000" pitchFamily="2" charset="0"/>
              <a:ea typeface="Ebrima" panose="02000000000000000000" pitchFamily="2" charset="0"/>
              <a:cs typeface="Ebrima" panose="02000000000000000000" pitchFamily="2" charset="0"/>
            </a:defRPr>
          </a:pPr>
          <a:endParaRPr lang="fr-FR"/>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sz="800">
          <a:solidFill>
            <a:schemeClr val="tx1">
              <a:lumMod val="95000"/>
              <a:lumOff val="5000"/>
            </a:schemeClr>
          </a:solidFill>
          <a:latin typeface="Ebrima" panose="02000000000000000000" pitchFamily="2" charset="0"/>
          <a:ea typeface="Ebrima" panose="02000000000000000000" pitchFamily="2" charset="0"/>
          <a:cs typeface="Ebrima" panose="02000000000000000000" pitchFamily="2" charset="0"/>
        </a:defRPr>
      </a:pPr>
      <a:endParaRPr lang="fr-FR"/>
    </a:p>
  </c:txPr>
  <c:printSettings>
    <c:headerFooter/>
    <c:pageMargins b="0.75" l="0.7" r="0.7" t="0.75" header="0.3" footer="0.3"/>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lgn="ctr" rtl="0">
              <a:defRPr lang="fr-FR" sz="960" b="1" i="0" u="none" strike="noStrike" kern="1200" spc="0" baseline="0">
                <a:solidFill>
                  <a:srgbClr val="0070C0"/>
                </a:solidFill>
                <a:latin typeface="Ebrima" panose="02000000000000000000" pitchFamily="2" charset="0"/>
                <a:ea typeface="Ebrima" panose="02000000000000000000" pitchFamily="2" charset="0"/>
                <a:cs typeface="Ebrima" panose="02000000000000000000" pitchFamily="2" charset="0"/>
              </a:defRPr>
            </a:pPr>
            <a:r>
              <a:rPr lang="fr-FR" sz="960" b="1" i="0" u="none" strike="noStrike" kern="1200" spc="0" baseline="0">
                <a:solidFill>
                  <a:srgbClr val="0070C0"/>
                </a:solidFill>
                <a:latin typeface="Ebrima" panose="02000000000000000000" pitchFamily="2" charset="0"/>
                <a:ea typeface="Ebrima" panose="02000000000000000000" pitchFamily="2" charset="0"/>
                <a:cs typeface="Ebrima" panose="02000000000000000000" pitchFamily="2" charset="0"/>
              </a:rPr>
              <a:t>Evolution des dépenses et recettes réelles de fonctionnement</a:t>
            </a:r>
          </a:p>
        </c:rich>
      </c:tx>
      <c:layout>
        <c:manualLayout>
          <c:xMode val="edge"/>
          <c:yMode val="edge"/>
          <c:x val="0.15499557838528555"/>
          <c:y val="2.4154589371980676E-2"/>
        </c:manualLayout>
      </c:layout>
      <c:overlay val="0"/>
      <c:spPr>
        <a:noFill/>
        <a:ln>
          <a:noFill/>
        </a:ln>
        <a:effectLst/>
      </c:spPr>
      <c:txPr>
        <a:bodyPr rot="0" spcFirstLastPara="1" vertOverflow="ellipsis" vert="horz" wrap="square" anchor="ctr" anchorCtr="1"/>
        <a:lstStyle/>
        <a:p>
          <a:pPr algn="ctr" rtl="0">
            <a:defRPr lang="fr-FR" sz="960" b="1" i="0" u="none" strike="noStrike" kern="1200" spc="0" baseline="0">
              <a:solidFill>
                <a:srgbClr val="0070C0"/>
              </a:solidFill>
              <a:latin typeface="Ebrima" panose="02000000000000000000" pitchFamily="2" charset="0"/>
              <a:ea typeface="Ebrima" panose="02000000000000000000" pitchFamily="2" charset="0"/>
              <a:cs typeface="Ebrima" panose="02000000000000000000" pitchFamily="2" charset="0"/>
            </a:defRPr>
          </a:pPr>
          <a:endParaRPr lang="fr-FR"/>
        </a:p>
      </c:txPr>
    </c:title>
    <c:autoTitleDeleted val="0"/>
    <c:plotArea>
      <c:layout>
        <c:manualLayout>
          <c:layoutTarget val="inner"/>
          <c:xMode val="edge"/>
          <c:yMode val="edge"/>
          <c:x val="9.2849677793339233E-2"/>
          <c:y val="0.20223107569721119"/>
          <c:w val="0.87020656768455484"/>
          <c:h val="0.4765007162949253"/>
        </c:manualLayout>
      </c:layout>
      <c:barChart>
        <c:barDir val="col"/>
        <c:grouping val="clustered"/>
        <c:varyColors val="0"/>
        <c:ser>
          <c:idx val="0"/>
          <c:order val="0"/>
          <c:tx>
            <c:strRef>
              <c:f>'2-Section de Fonctionnement'!$A$29</c:f>
              <c:strCache>
                <c:ptCount val="1"/>
                <c:pt idx="0">
                  <c:v>Total des recettes réelles de fonctionnement </c:v>
                </c:pt>
              </c:strCache>
            </c:strRef>
          </c:tx>
          <c:spPr>
            <a:solidFill>
              <a:schemeClr val="accent1"/>
            </a:solidFill>
            <a:ln>
              <a:noFill/>
            </a:ln>
            <a:effectLst/>
          </c:spPr>
          <c:invertIfNegative val="0"/>
          <c:cat>
            <c:strRef>
              <c:extLst>
                <c:ext xmlns:c15="http://schemas.microsoft.com/office/drawing/2012/chart" uri="{02D57815-91ED-43cb-92C2-25804820EDAC}">
                  <c15:fullRef>
                    <c15:sqref>'2-Section de Fonctionnement'!$C$28:$M$28</c15:sqref>
                  </c15:fullRef>
                </c:ext>
              </c:extLst>
              <c:f>('2-Section de Fonctionnement'!$C$28:$F$28,'2-Section de Fonctionnement'!$H$28:$M$28)</c:f>
              <c:strCache>
                <c:ptCount val="10"/>
                <c:pt idx="0">
                  <c:v>0</c:v>
                </c:pt>
                <c:pt idx="1">
                  <c:v>1</c:v>
                </c:pt>
                <c:pt idx="2">
                  <c:v>2</c:v>
                </c:pt>
                <c:pt idx="3">
                  <c:v>3</c:v>
                </c:pt>
                <c:pt idx="4">
                  <c:v>4</c:v>
                </c:pt>
                <c:pt idx="5">
                  <c:v>5</c:v>
                </c:pt>
                <c:pt idx="6">
                  <c:v>6</c:v>
                </c:pt>
                <c:pt idx="7">
                  <c:v>7</c:v>
                </c:pt>
                <c:pt idx="8">
                  <c:v>8</c:v>
                </c:pt>
                <c:pt idx="9">
                  <c:v>9</c:v>
                </c:pt>
              </c:strCache>
            </c:strRef>
          </c:cat>
          <c:val>
            <c:numRef>
              <c:extLst>
                <c:ext xmlns:c15="http://schemas.microsoft.com/office/drawing/2012/chart" uri="{02D57815-91ED-43cb-92C2-25804820EDAC}">
                  <c15:fullRef>
                    <c15:sqref>'2-Section de Fonctionnement'!$C$29:$M$29</c15:sqref>
                  </c15:fullRef>
                </c:ext>
              </c:extLst>
              <c:f>('2-Section de Fonctionnement'!$C$29:$F$29,'2-Section de Fonctionnement'!$H$29:$M$29)</c:f>
              <c:numCache>
                <c:formatCode>#,##0</c:formatCode>
                <c:ptCount val="10"/>
                <c:pt idx="4">
                  <c:v>0</c:v>
                </c:pt>
                <c:pt idx="5">
                  <c:v>0</c:v>
                </c:pt>
                <c:pt idx="6">
                  <c:v>0</c:v>
                </c:pt>
                <c:pt idx="7">
                  <c:v>0</c:v>
                </c:pt>
                <c:pt idx="8">
                  <c:v>0</c:v>
                </c:pt>
                <c:pt idx="9">
                  <c:v>0</c:v>
                </c:pt>
              </c:numCache>
            </c:numRef>
          </c:val>
          <c:extLst>
            <c:ext xmlns:c16="http://schemas.microsoft.com/office/drawing/2014/chart" uri="{C3380CC4-5D6E-409C-BE32-E72D297353CC}">
              <c16:uniqueId val="{00000000-ACBA-41DE-9B6D-B1063EEE3B77}"/>
            </c:ext>
          </c:extLst>
        </c:ser>
        <c:ser>
          <c:idx val="1"/>
          <c:order val="1"/>
          <c:tx>
            <c:strRef>
              <c:f>'2-Section de Fonctionnement'!$A$10:$B$10</c:f>
              <c:strCache>
                <c:ptCount val="2"/>
                <c:pt idx="0">
                  <c:v>Total des dépenses réelles de fonctionnement </c:v>
                </c:pt>
              </c:strCache>
            </c:strRef>
          </c:tx>
          <c:spPr>
            <a:solidFill>
              <a:schemeClr val="accent2"/>
            </a:solidFill>
            <a:ln>
              <a:noFill/>
            </a:ln>
            <a:effectLst/>
          </c:spPr>
          <c:invertIfNegative val="0"/>
          <c:cat>
            <c:strLit>
              <c:ptCount val="10"/>
              <c:pt idx="0">
                <c:v>0</c:v>
              </c:pt>
              <c:pt idx="1">
                <c:v>1</c:v>
              </c:pt>
              <c:pt idx="2">
                <c:v>2</c:v>
              </c:pt>
              <c:pt idx="3">
                <c:v>3</c:v>
              </c:pt>
              <c:pt idx="4">
                <c:v>4</c:v>
              </c:pt>
              <c:pt idx="5">
                <c:v>5</c:v>
              </c:pt>
              <c:pt idx="6">
                <c:v>6</c:v>
              </c:pt>
              <c:pt idx="7">
                <c:v>7</c:v>
              </c:pt>
              <c:pt idx="8">
                <c:v>8</c:v>
              </c:pt>
              <c:pt idx="9">
                <c:v>9</c:v>
              </c:pt>
              <c:extLst>
                <c:ext xmlns:c15="http://schemas.microsoft.com/office/drawing/2012/chart" uri="{02D57815-91ED-43cb-92C2-25804820EDAC}">
                  <c15:autoCat val="1"/>
                </c:ext>
              </c:extLst>
            </c:strLit>
          </c:cat>
          <c:val>
            <c:numRef>
              <c:extLst>
                <c:ext xmlns:c15="http://schemas.microsoft.com/office/drawing/2012/chart" uri="{02D57815-91ED-43cb-92C2-25804820EDAC}">
                  <c15:fullRef>
                    <c15:sqref>'2-Section de Fonctionnement'!$C$10:$M$10</c15:sqref>
                  </c15:fullRef>
                </c:ext>
              </c:extLst>
              <c:f>('2-Section de Fonctionnement'!$C$10:$F$10,'2-Section de Fonctionnement'!$H$10:$M$10)</c:f>
              <c:numCache>
                <c:formatCode>#,##0</c:formatCode>
                <c:ptCount val="10"/>
                <c:pt idx="4">
                  <c:v>0</c:v>
                </c:pt>
                <c:pt idx="5">
                  <c:v>0</c:v>
                </c:pt>
                <c:pt idx="6">
                  <c:v>0</c:v>
                </c:pt>
                <c:pt idx="7">
                  <c:v>0</c:v>
                </c:pt>
                <c:pt idx="8">
                  <c:v>0</c:v>
                </c:pt>
                <c:pt idx="9">
                  <c:v>0</c:v>
                </c:pt>
              </c:numCache>
            </c:numRef>
          </c:val>
          <c:extLst>
            <c:ext xmlns:c16="http://schemas.microsoft.com/office/drawing/2014/chart" uri="{C3380CC4-5D6E-409C-BE32-E72D297353CC}">
              <c16:uniqueId val="{00000001-ACBA-41DE-9B6D-B1063EEE3B77}"/>
            </c:ext>
          </c:extLst>
        </c:ser>
        <c:dLbls>
          <c:showLegendKey val="0"/>
          <c:showVal val="0"/>
          <c:showCatName val="0"/>
          <c:showSerName val="0"/>
          <c:showPercent val="0"/>
          <c:showBubbleSize val="0"/>
        </c:dLbls>
        <c:gapWidth val="150"/>
        <c:axId val="98525743"/>
        <c:axId val="98534863"/>
      </c:barChart>
      <c:catAx>
        <c:axId val="98525743"/>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800" b="0" i="0" u="none" strike="noStrike" kern="1200" baseline="0">
                <a:solidFill>
                  <a:schemeClr val="tx1">
                    <a:lumMod val="95000"/>
                    <a:lumOff val="5000"/>
                  </a:schemeClr>
                </a:solidFill>
                <a:latin typeface="Ebrima" panose="02000000000000000000" pitchFamily="2" charset="0"/>
                <a:ea typeface="Ebrima" panose="02000000000000000000" pitchFamily="2" charset="0"/>
                <a:cs typeface="Ebrima" panose="02000000000000000000" pitchFamily="2" charset="0"/>
              </a:defRPr>
            </a:pPr>
            <a:endParaRPr lang="fr-FR"/>
          </a:p>
        </c:txPr>
        <c:crossAx val="98534863"/>
        <c:crosses val="autoZero"/>
        <c:auto val="1"/>
        <c:lblAlgn val="ctr"/>
        <c:lblOffset val="100"/>
        <c:noMultiLvlLbl val="0"/>
      </c:catAx>
      <c:valAx>
        <c:axId val="98534863"/>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800" b="0" i="0" u="none" strike="noStrike" kern="1200" baseline="0">
                <a:solidFill>
                  <a:schemeClr val="tx1">
                    <a:lumMod val="95000"/>
                    <a:lumOff val="5000"/>
                  </a:schemeClr>
                </a:solidFill>
                <a:latin typeface="Ebrima" panose="02000000000000000000" pitchFamily="2" charset="0"/>
                <a:ea typeface="Ebrima" panose="02000000000000000000" pitchFamily="2" charset="0"/>
                <a:cs typeface="Ebrima" panose="02000000000000000000" pitchFamily="2" charset="0"/>
              </a:defRPr>
            </a:pPr>
            <a:endParaRPr lang="fr-FR"/>
          </a:p>
        </c:txPr>
        <c:crossAx val="98525743"/>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800" b="0" i="0" u="none" strike="noStrike" kern="1200" baseline="0">
              <a:solidFill>
                <a:schemeClr val="tx1">
                  <a:lumMod val="95000"/>
                  <a:lumOff val="5000"/>
                </a:schemeClr>
              </a:solidFill>
              <a:latin typeface="Ebrima" panose="02000000000000000000" pitchFamily="2" charset="0"/>
              <a:ea typeface="Ebrima" panose="02000000000000000000" pitchFamily="2" charset="0"/>
              <a:cs typeface="Ebrima" panose="02000000000000000000" pitchFamily="2" charset="0"/>
            </a:defRPr>
          </a:pPr>
          <a:endParaRPr lang="fr-FR"/>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sz="800">
          <a:solidFill>
            <a:schemeClr val="tx1">
              <a:lumMod val="95000"/>
              <a:lumOff val="5000"/>
            </a:schemeClr>
          </a:solidFill>
          <a:latin typeface="Ebrima" panose="02000000000000000000" pitchFamily="2" charset="0"/>
          <a:ea typeface="Ebrima" panose="02000000000000000000" pitchFamily="2" charset="0"/>
          <a:cs typeface="Ebrima" panose="02000000000000000000" pitchFamily="2" charset="0"/>
        </a:defRPr>
      </a:pPr>
      <a:endParaRPr lang="fr-FR"/>
    </a:p>
  </c:txPr>
  <c:printSettings>
    <c:headerFooter/>
    <c:pageMargins b="0.75" l="0.7" r="0.7" t="0.75" header="0.3" footer="0.3"/>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lgn="ctr" rtl="0">
              <a:defRPr lang="en-US" sz="960" b="1" i="0" u="none" strike="noStrike" kern="1200" spc="0" baseline="0">
                <a:solidFill>
                  <a:srgbClr val="2B956A"/>
                </a:solidFill>
                <a:latin typeface="Ebrima" panose="02000000000000000000" pitchFamily="2" charset="0"/>
                <a:ea typeface="Ebrima" panose="02000000000000000000" pitchFamily="2" charset="0"/>
                <a:cs typeface="Ebrima" panose="02000000000000000000" pitchFamily="2" charset="0"/>
              </a:defRPr>
            </a:pPr>
            <a:r>
              <a:rPr lang="fr-FR"/>
              <a:t>Capacité dynamique de désendettement au 31/12</a:t>
            </a:r>
          </a:p>
        </c:rich>
      </c:tx>
      <c:overlay val="0"/>
      <c:spPr>
        <a:noFill/>
        <a:ln>
          <a:noFill/>
        </a:ln>
        <a:effectLst/>
      </c:spPr>
      <c:txPr>
        <a:bodyPr rot="0" spcFirstLastPara="1" vertOverflow="ellipsis" vert="horz" wrap="square" anchor="ctr" anchorCtr="1"/>
        <a:lstStyle/>
        <a:p>
          <a:pPr algn="ctr" rtl="0">
            <a:defRPr lang="en-US" sz="960" b="1" i="0" u="none" strike="noStrike" kern="1200" spc="0" baseline="0">
              <a:solidFill>
                <a:srgbClr val="2B956A"/>
              </a:solidFill>
              <a:latin typeface="Ebrima" panose="02000000000000000000" pitchFamily="2" charset="0"/>
              <a:ea typeface="Ebrima" panose="02000000000000000000" pitchFamily="2" charset="0"/>
              <a:cs typeface="Ebrima" panose="02000000000000000000" pitchFamily="2" charset="0"/>
            </a:defRPr>
          </a:pPr>
          <a:endParaRPr lang="fr-FR"/>
        </a:p>
      </c:txPr>
    </c:title>
    <c:autoTitleDeleted val="0"/>
    <c:plotArea>
      <c:layout/>
      <c:lineChart>
        <c:grouping val="standard"/>
        <c:varyColors val="0"/>
        <c:ser>
          <c:idx val="0"/>
          <c:order val="0"/>
          <c:tx>
            <c:strRef>
              <c:f>'4-Section d''Investissement'!$A$55</c:f>
              <c:strCache>
                <c:ptCount val="1"/>
                <c:pt idx="0">
                  <c:v>Capacité dynamique de désendettement</c:v>
                </c:pt>
              </c:strCache>
            </c:strRef>
          </c:tx>
          <c:spPr>
            <a:ln w="28575" cap="rnd">
              <a:solidFill>
                <a:schemeClr val="accent1"/>
              </a:solidFill>
              <a:round/>
            </a:ln>
            <a:effectLst/>
          </c:spPr>
          <c:marker>
            <c:symbol val="circle"/>
            <c:size val="5"/>
            <c:spPr>
              <a:solidFill>
                <a:schemeClr val="accent1"/>
              </a:solidFill>
              <a:ln w="9525">
                <a:solidFill>
                  <a:schemeClr val="accent1"/>
                </a:solidFill>
              </a:ln>
              <a:effectLst/>
            </c:spPr>
          </c:marker>
          <c:cat>
            <c:numRef>
              <c:extLst>
                <c:ext xmlns:c15="http://schemas.microsoft.com/office/drawing/2012/chart" uri="{02D57815-91ED-43cb-92C2-25804820EDAC}">
                  <c15:fullRef>
                    <c15:sqref>'4-Section d''Investissement'!$B$44:$L$44</c15:sqref>
                  </c15:fullRef>
                </c:ext>
              </c:extLst>
              <c:f>('4-Section d''Investissement'!$B$44:$E$44,'4-Section d''Investissement'!$G$44:$L$44)</c:f>
              <c:numCache>
                <c:formatCode>General</c:formatCode>
                <c:ptCount val="10"/>
                <c:pt idx="0">
                  <c:v>0</c:v>
                </c:pt>
                <c:pt idx="1">
                  <c:v>1</c:v>
                </c:pt>
                <c:pt idx="2">
                  <c:v>2</c:v>
                </c:pt>
                <c:pt idx="3">
                  <c:v>3</c:v>
                </c:pt>
                <c:pt idx="4">
                  <c:v>4</c:v>
                </c:pt>
                <c:pt idx="5">
                  <c:v>5</c:v>
                </c:pt>
                <c:pt idx="6">
                  <c:v>6</c:v>
                </c:pt>
                <c:pt idx="7">
                  <c:v>7</c:v>
                </c:pt>
                <c:pt idx="8">
                  <c:v>8</c:v>
                </c:pt>
                <c:pt idx="9">
                  <c:v>9</c:v>
                </c:pt>
              </c:numCache>
            </c:numRef>
          </c:cat>
          <c:val>
            <c:numRef>
              <c:extLst>
                <c:ext xmlns:c15="http://schemas.microsoft.com/office/drawing/2012/chart" uri="{02D57815-91ED-43cb-92C2-25804820EDAC}">
                  <c15:fullRef>
                    <c15:sqref>'4-Section d''Investissement'!$B$55:$L$55</c15:sqref>
                  </c15:fullRef>
                </c:ext>
              </c:extLst>
              <c:f>('4-Section d''Investissement'!$B$55:$E$55,'4-Section d''Investissement'!$G$55:$L$55)</c:f>
              <c:numCache>
                <c:formatCode>0.0</c:formatCode>
                <c:ptCount val="10"/>
                <c:pt idx="0">
                  <c:v>0</c:v>
                </c:pt>
                <c:pt idx="1">
                  <c:v>0</c:v>
                </c:pt>
                <c:pt idx="2">
                  <c:v>0</c:v>
                </c:pt>
                <c:pt idx="3">
                  <c:v>0</c:v>
                </c:pt>
                <c:pt idx="4" formatCode="#\ ##0.0">
                  <c:v>0</c:v>
                </c:pt>
                <c:pt idx="5" formatCode="#\ ##0.0">
                  <c:v>0</c:v>
                </c:pt>
                <c:pt idx="6" formatCode="#\ ##0.0">
                  <c:v>0</c:v>
                </c:pt>
                <c:pt idx="7" formatCode="#\ ##0.0">
                  <c:v>0</c:v>
                </c:pt>
                <c:pt idx="8" formatCode="#\ ##0.0">
                  <c:v>0</c:v>
                </c:pt>
                <c:pt idx="9" formatCode="#\ ##0.0">
                  <c:v>0</c:v>
                </c:pt>
              </c:numCache>
            </c:numRef>
          </c:val>
          <c:smooth val="0"/>
          <c:extLst>
            <c:ext xmlns:c16="http://schemas.microsoft.com/office/drawing/2014/chart" uri="{C3380CC4-5D6E-409C-BE32-E72D297353CC}">
              <c16:uniqueId val="{00000000-8085-4102-B23E-0DC7BCAE14A9}"/>
            </c:ext>
          </c:extLst>
        </c:ser>
        <c:dLbls>
          <c:showLegendKey val="0"/>
          <c:showVal val="0"/>
          <c:showCatName val="0"/>
          <c:showSerName val="0"/>
          <c:showPercent val="0"/>
          <c:showBubbleSize val="0"/>
        </c:dLbls>
        <c:marker val="1"/>
        <c:smooth val="0"/>
        <c:axId val="1988006864"/>
        <c:axId val="1988008784"/>
      </c:lineChart>
      <c:catAx>
        <c:axId val="198800686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800" b="0" i="0" u="none" strike="noStrike" kern="1200" baseline="0">
                <a:solidFill>
                  <a:schemeClr val="tx1"/>
                </a:solidFill>
                <a:latin typeface="Ebrima" panose="02000000000000000000" pitchFamily="2" charset="0"/>
                <a:ea typeface="Ebrima" panose="02000000000000000000" pitchFamily="2" charset="0"/>
                <a:cs typeface="Ebrima" panose="02000000000000000000" pitchFamily="2" charset="0"/>
              </a:defRPr>
            </a:pPr>
            <a:endParaRPr lang="fr-FR"/>
          </a:p>
        </c:txPr>
        <c:crossAx val="1988008784"/>
        <c:crosses val="autoZero"/>
        <c:auto val="1"/>
        <c:lblAlgn val="ctr"/>
        <c:lblOffset val="100"/>
        <c:noMultiLvlLbl val="0"/>
      </c:catAx>
      <c:valAx>
        <c:axId val="1988008784"/>
        <c:scaling>
          <c:orientation val="minMax"/>
        </c:scaling>
        <c:delete val="0"/>
        <c:axPos val="l"/>
        <c:majorGridlines>
          <c:spPr>
            <a:ln w="9525" cap="flat" cmpd="sng" algn="ctr">
              <a:solidFill>
                <a:schemeClr val="tx1">
                  <a:lumMod val="15000"/>
                  <a:lumOff val="85000"/>
                </a:schemeClr>
              </a:solidFill>
              <a:round/>
            </a:ln>
            <a:effectLst/>
          </c:spPr>
        </c:majorGridlines>
        <c:numFmt formatCode="0.0" sourceLinked="1"/>
        <c:majorTickMark val="none"/>
        <c:minorTickMark val="none"/>
        <c:tickLblPos val="nextTo"/>
        <c:spPr>
          <a:noFill/>
          <a:ln>
            <a:noFill/>
          </a:ln>
          <a:effectLst/>
        </c:spPr>
        <c:txPr>
          <a:bodyPr rot="-60000000" spcFirstLastPara="1" vertOverflow="ellipsis" vert="horz" wrap="square" anchor="ctr" anchorCtr="1"/>
          <a:lstStyle/>
          <a:p>
            <a:pPr>
              <a:defRPr sz="800" b="0" i="0" u="none" strike="noStrike" kern="1200" baseline="0">
                <a:solidFill>
                  <a:schemeClr val="tx1"/>
                </a:solidFill>
                <a:latin typeface="Ebrima" panose="02000000000000000000" pitchFamily="2" charset="0"/>
                <a:ea typeface="Ebrima" panose="02000000000000000000" pitchFamily="2" charset="0"/>
                <a:cs typeface="Ebrima" panose="02000000000000000000" pitchFamily="2" charset="0"/>
              </a:defRPr>
            </a:pPr>
            <a:endParaRPr lang="fr-FR"/>
          </a:p>
        </c:txPr>
        <c:crossAx val="1988006864"/>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sz="800">
          <a:latin typeface="Ebrima" panose="02000000000000000000" pitchFamily="2" charset="0"/>
          <a:ea typeface="Ebrima" panose="02000000000000000000" pitchFamily="2" charset="0"/>
          <a:cs typeface="Ebrima" panose="02000000000000000000" pitchFamily="2" charset="0"/>
        </a:defRPr>
      </a:pPr>
      <a:endParaRPr lang="fr-FR"/>
    </a:p>
  </c:txPr>
  <c:printSettings>
    <c:headerFooter/>
    <c:pageMargins b="0.75" l="0.7" r="0.7" t="0.75" header="0.3" footer="0.3"/>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tx>
            <c:strRef>
              <c:f>'7-Graphiques'!$A$59</c:f>
              <c:strCache>
                <c:ptCount val="1"/>
                <c:pt idx="0">
                  <c:v>FCTVA</c:v>
                </c:pt>
              </c:strCache>
            </c:strRef>
          </c:tx>
          <c:spPr>
            <a:solidFill>
              <a:schemeClr val="accent1"/>
            </a:solidFill>
            <a:ln>
              <a:noFill/>
            </a:ln>
            <a:effectLst/>
          </c:spPr>
          <c:invertIfNegative val="0"/>
          <c:cat>
            <c:numRef>
              <c:f>'7-Graphiques'!$B$58:$K$58</c:f>
              <c:numCache>
                <c:formatCode>General</c:formatCode>
                <c:ptCount val="10"/>
                <c:pt idx="0">
                  <c:v>2022</c:v>
                </c:pt>
                <c:pt idx="1">
                  <c:v>2023</c:v>
                </c:pt>
                <c:pt idx="2">
                  <c:v>2024</c:v>
                </c:pt>
                <c:pt idx="3">
                  <c:v>2025</c:v>
                </c:pt>
                <c:pt idx="4">
                  <c:v>2026</c:v>
                </c:pt>
                <c:pt idx="5">
                  <c:v>2027</c:v>
                </c:pt>
                <c:pt idx="6">
                  <c:v>2028</c:v>
                </c:pt>
                <c:pt idx="7">
                  <c:v>2029</c:v>
                </c:pt>
                <c:pt idx="8">
                  <c:v>2030</c:v>
                </c:pt>
                <c:pt idx="9">
                  <c:v>2031</c:v>
                </c:pt>
              </c:numCache>
            </c:numRef>
          </c:cat>
          <c:val>
            <c:numRef>
              <c:f>'7-Graphiques'!$B$59:$K$59</c:f>
              <c:numCache>
                <c:formatCode>#,##0</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9214-41F2-9A5A-8BE4112E0D3A}"/>
            </c:ext>
          </c:extLst>
        </c:ser>
        <c:ser>
          <c:idx val="1"/>
          <c:order val="1"/>
          <c:tx>
            <c:strRef>
              <c:f>'7-Graphiques'!$A$60</c:f>
              <c:strCache>
                <c:ptCount val="1"/>
                <c:pt idx="0">
                  <c:v>Subventions d'investissement reçues</c:v>
                </c:pt>
              </c:strCache>
            </c:strRef>
          </c:tx>
          <c:spPr>
            <a:solidFill>
              <a:schemeClr val="accent2"/>
            </a:solidFill>
            <a:ln>
              <a:noFill/>
            </a:ln>
            <a:effectLst/>
          </c:spPr>
          <c:invertIfNegative val="0"/>
          <c:cat>
            <c:numRef>
              <c:f>'7-Graphiques'!$B$58:$K$58</c:f>
              <c:numCache>
                <c:formatCode>General</c:formatCode>
                <c:ptCount val="10"/>
                <c:pt idx="0">
                  <c:v>2022</c:v>
                </c:pt>
                <c:pt idx="1">
                  <c:v>2023</c:v>
                </c:pt>
                <c:pt idx="2">
                  <c:v>2024</c:v>
                </c:pt>
                <c:pt idx="3">
                  <c:v>2025</c:v>
                </c:pt>
                <c:pt idx="4">
                  <c:v>2026</c:v>
                </c:pt>
                <c:pt idx="5">
                  <c:v>2027</c:v>
                </c:pt>
                <c:pt idx="6">
                  <c:v>2028</c:v>
                </c:pt>
                <c:pt idx="7">
                  <c:v>2029</c:v>
                </c:pt>
                <c:pt idx="8">
                  <c:v>2030</c:v>
                </c:pt>
                <c:pt idx="9">
                  <c:v>2031</c:v>
                </c:pt>
              </c:numCache>
            </c:numRef>
          </c:cat>
          <c:val>
            <c:numRef>
              <c:f>'7-Graphiques'!$B$60:$K$60</c:f>
              <c:numCache>
                <c:formatCode>#,##0</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9214-41F2-9A5A-8BE4112E0D3A}"/>
            </c:ext>
          </c:extLst>
        </c:ser>
        <c:dLbls>
          <c:showLegendKey val="0"/>
          <c:showVal val="0"/>
          <c:showCatName val="0"/>
          <c:showSerName val="0"/>
          <c:showPercent val="0"/>
          <c:showBubbleSize val="0"/>
        </c:dLbls>
        <c:gapWidth val="219"/>
        <c:overlap val="-27"/>
        <c:axId val="35139840"/>
        <c:axId val="35120160"/>
      </c:barChart>
      <c:catAx>
        <c:axId val="3513984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800" b="0" i="0" u="none" strike="noStrike" kern="1200" baseline="0">
                <a:solidFill>
                  <a:schemeClr val="tx1">
                    <a:lumMod val="95000"/>
                    <a:lumOff val="5000"/>
                  </a:schemeClr>
                </a:solidFill>
                <a:latin typeface="Ebrima" panose="02000000000000000000" pitchFamily="2" charset="0"/>
                <a:ea typeface="Ebrima" panose="02000000000000000000" pitchFamily="2" charset="0"/>
                <a:cs typeface="Ebrima" panose="02000000000000000000" pitchFamily="2" charset="0"/>
              </a:defRPr>
            </a:pPr>
            <a:endParaRPr lang="fr-FR"/>
          </a:p>
        </c:txPr>
        <c:crossAx val="35120160"/>
        <c:crosses val="autoZero"/>
        <c:auto val="1"/>
        <c:lblAlgn val="ctr"/>
        <c:lblOffset val="100"/>
        <c:noMultiLvlLbl val="0"/>
      </c:catAx>
      <c:valAx>
        <c:axId val="35120160"/>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800" b="0" i="0" u="none" strike="noStrike" kern="1200" baseline="0">
                <a:solidFill>
                  <a:schemeClr val="tx1">
                    <a:lumMod val="95000"/>
                    <a:lumOff val="5000"/>
                  </a:schemeClr>
                </a:solidFill>
                <a:latin typeface="Ebrima" panose="02000000000000000000" pitchFamily="2" charset="0"/>
                <a:ea typeface="Ebrima" panose="02000000000000000000" pitchFamily="2" charset="0"/>
                <a:cs typeface="Ebrima" panose="02000000000000000000" pitchFamily="2" charset="0"/>
              </a:defRPr>
            </a:pPr>
            <a:endParaRPr lang="fr-FR"/>
          </a:p>
        </c:txPr>
        <c:crossAx val="35139840"/>
        <c:crosses val="autoZero"/>
        <c:crossBetween val="between"/>
      </c:valAx>
      <c:spPr>
        <a:noFill/>
        <a:ln>
          <a:noFill/>
        </a:ln>
        <a:effectLst/>
      </c:spPr>
    </c:plotArea>
    <c:legend>
      <c:legendPos val="t"/>
      <c:overlay val="0"/>
      <c:spPr>
        <a:noFill/>
        <a:ln>
          <a:noFill/>
        </a:ln>
        <a:effectLst/>
      </c:spPr>
      <c:txPr>
        <a:bodyPr rot="0" spcFirstLastPara="1" vertOverflow="ellipsis" vert="horz" wrap="square" anchor="ctr" anchorCtr="1"/>
        <a:lstStyle/>
        <a:p>
          <a:pPr>
            <a:defRPr sz="800" b="0" i="0" u="none" strike="noStrike" kern="1200" baseline="0">
              <a:solidFill>
                <a:schemeClr val="tx1">
                  <a:lumMod val="95000"/>
                  <a:lumOff val="5000"/>
                </a:schemeClr>
              </a:solidFill>
              <a:latin typeface="Ebrima" panose="02000000000000000000" pitchFamily="2" charset="0"/>
              <a:ea typeface="Ebrima" panose="02000000000000000000" pitchFamily="2" charset="0"/>
              <a:cs typeface="Ebrima" panose="02000000000000000000" pitchFamily="2" charset="0"/>
            </a:defRPr>
          </a:pPr>
          <a:endParaRPr lang="fr-FR"/>
        </a:p>
      </c:txPr>
    </c:legend>
    <c:plotVisOnly val="0"/>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sz="800">
          <a:solidFill>
            <a:schemeClr val="tx1">
              <a:lumMod val="95000"/>
              <a:lumOff val="5000"/>
            </a:schemeClr>
          </a:solidFill>
          <a:latin typeface="Ebrima" panose="02000000000000000000" pitchFamily="2" charset="0"/>
          <a:ea typeface="Ebrima" panose="02000000000000000000" pitchFamily="2" charset="0"/>
          <a:cs typeface="Ebrima" panose="02000000000000000000" pitchFamily="2" charset="0"/>
        </a:defRPr>
      </a:pPr>
      <a:endParaRPr lang="fr-FR"/>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960" b="1" i="0" u="none" strike="noStrike" kern="1200" spc="0" baseline="0">
                <a:solidFill>
                  <a:srgbClr val="333F4F"/>
                </a:solidFill>
                <a:latin typeface="Ebrima" panose="02000000000000000000" pitchFamily="2" charset="0"/>
                <a:ea typeface="Ebrima" panose="02000000000000000000" pitchFamily="2" charset="0"/>
                <a:cs typeface="Ebrima" panose="02000000000000000000" pitchFamily="2" charset="0"/>
              </a:defRPr>
            </a:pPr>
            <a:r>
              <a:rPr lang="fr-FR" sz="960" b="1">
                <a:solidFill>
                  <a:srgbClr val="333F4F"/>
                </a:solidFill>
              </a:rPr>
              <a:t>Encours de dette au 31/12/</a:t>
            </a:r>
          </a:p>
        </c:rich>
      </c:tx>
      <c:layout>
        <c:manualLayout>
          <c:xMode val="edge"/>
          <c:yMode val="edge"/>
          <c:x val="0.26334247544899581"/>
          <c:y val="5.5813953488372092E-2"/>
        </c:manualLayout>
      </c:layout>
      <c:overlay val="0"/>
      <c:spPr>
        <a:noFill/>
        <a:ln>
          <a:noFill/>
        </a:ln>
        <a:effectLst/>
      </c:spPr>
      <c:txPr>
        <a:bodyPr rot="0" spcFirstLastPara="1" vertOverflow="ellipsis" vert="horz" wrap="square" anchor="ctr" anchorCtr="1"/>
        <a:lstStyle/>
        <a:p>
          <a:pPr>
            <a:defRPr sz="960" b="1" i="0" u="none" strike="noStrike" kern="1200" spc="0" baseline="0">
              <a:solidFill>
                <a:srgbClr val="333F4F"/>
              </a:solidFill>
              <a:latin typeface="Ebrima" panose="02000000000000000000" pitchFamily="2" charset="0"/>
              <a:ea typeface="Ebrima" panose="02000000000000000000" pitchFamily="2" charset="0"/>
              <a:cs typeface="Ebrima" panose="02000000000000000000" pitchFamily="2" charset="0"/>
            </a:defRPr>
          </a:pPr>
          <a:endParaRPr lang="fr-FR"/>
        </a:p>
      </c:txPr>
    </c:title>
    <c:autoTitleDeleted val="0"/>
    <c:plotArea>
      <c:layout/>
      <c:areaChart>
        <c:grouping val="stacked"/>
        <c:varyColors val="0"/>
        <c:ser>
          <c:idx val="0"/>
          <c:order val="0"/>
          <c:tx>
            <c:strRef>
              <c:f>'4-Section d''Investissement'!$A$52</c:f>
              <c:strCache>
                <c:ptCount val="1"/>
                <c:pt idx="0">
                  <c:v>Encours de dette au 31/12/</c:v>
                </c:pt>
              </c:strCache>
            </c:strRef>
          </c:tx>
          <c:spPr>
            <a:solidFill>
              <a:schemeClr val="accent1"/>
            </a:solidFill>
            <a:ln>
              <a:noFill/>
            </a:ln>
            <a:effectLst/>
          </c:spPr>
          <c:cat>
            <c:numRef>
              <c:extLst>
                <c:ext xmlns:c15="http://schemas.microsoft.com/office/drawing/2012/chart" uri="{02D57815-91ED-43cb-92C2-25804820EDAC}">
                  <c15:fullRef>
                    <c15:sqref>'4-Section d''Investissement'!$B$44:$L$44</c15:sqref>
                  </c15:fullRef>
                </c:ext>
              </c:extLst>
              <c:f>'4-Section d''Investissement'!$B$44:$E$44</c:f>
              <c:numCache>
                <c:formatCode>General</c:formatCode>
                <c:ptCount val="4"/>
                <c:pt idx="0">
                  <c:v>0</c:v>
                </c:pt>
                <c:pt idx="1">
                  <c:v>1</c:v>
                </c:pt>
                <c:pt idx="2">
                  <c:v>2</c:v>
                </c:pt>
                <c:pt idx="3">
                  <c:v>3</c:v>
                </c:pt>
              </c:numCache>
            </c:numRef>
          </c:cat>
          <c:val>
            <c:numRef>
              <c:extLst>
                <c:ext xmlns:c15="http://schemas.microsoft.com/office/drawing/2012/chart" uri="{02D57815-91ED-43cb-92C2-25804820EDAC}">
                  <c15:fullRef>
                    <c15:sqref>'4-Section d''Investissement'!$B$52:$L$52</c15:sqref>
                  </c15:fullRef>
                </c:ext>
              </c:extLst>
              <c:f>'4-Section d''Investissement'!$B$52:$E$52</c:f>
              <c:numCache>
                <c:formatCode>#,##0</c:formatCode>
                <c:ptCount val="4"/>
                <c:pt idx="0">
                  <c:v>0</c:v>
                </c:pt>
                <c:pt idx="1">
                  <c:v>0</c:v>
                </c:pt>
                <c:pt idx="2">
                  <c:v>0</c:v>
                </c:pt>
                <c:pt idx="3">
                  <c:v>0</c:v>
                </c:pt>
              </c:numCache>
            </c:numRef>
          </c:val>
          <c:extLst>
            <c:ext xmlns:c16="http://schemas.microsoft.com/office/drawing/2014/chart" uri="{C3380CC4-5D6E-409C-BE32-E72D297353CC}">
              <c16:uniqueId val="{00000000-AAA2-440F-9A5E-D964942A2337}"/>
            </c:ext>
          </c:extLst>
        </c:ser>
        <c:dLbls>
          <c:showLegendKey val="0"/>
          <c:showVal val="0"/>
          <c:showCatName val="0"/>
          <c:showSerName val="0"/>
          <c:showPercent val="0"/>
          <c:showBubbleSize val="0"/>
        </c:dLbls>
        <c:axId val="963943984"/>
        <c:axId val="963953584"/>
      </c:areaChart>
      <c:catAx>
        <c:axId val="963943984"/>
        <c:scaling>
          <c:orientation val="minMax"/>
        </c:scaling>
        <c:delete val="0"/>
        <c:axPos val="b"/>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800" b="0" i="0" u="none" strike="noStrike" kern="1200" baseline="0">
                <a:solidFill>
                  <a:schemeClr val="tx1">
                    <a:lumMod val="95000"/>
                    <a:lumOff val="5000"/>
                  </a:schemeClr>
                </a:solidFill>
                <a:latin typeface="Ebrima" panose="02000000000000000000" pitchFamily="2" charset="0"/>
                <a:ea typeface="Ebrima" panose="02000000000000000000" pitchFamily="2" charset="0"/>
                <a:cs typeface="Ebrima" panose="02000000000000000000" pitchFamily="2" charset="0"/>
              </a:defRPr>
            </a:pPr>
            <a:endParaRPr lang="fr-FR"/>
          </a:p>
        </c:txPr>
        <c:crossAx val="963953584"/>
        <c:crosses val="autoZero"/>
        <c:auto val="1"/>
        <c:lblAlgn val="ctr"/>
        <c:lblOffset val="100"/>
        <c:noMultiLvlLbl val="0"/>
      </c:catAx>
      <c:valAx>
        <c:axId val="963953584"/>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800" b="0" i="0" u="none" strike="noStrike" kern="1200" baseline="0">
                <a:solidFill>
                  <a:schemeClr val="tx1">
                    <a:lumMod val="95000"/>
                    <a:lumOff val="5000"/>
                  </a:schemeClr>
                </a:solidFill>
                <a:latin typeface="Ebrima" panose="02000000000000000000" pitchFamily="2" charset="0"/>
                <a:ea typeface="Ebrima" panose="02000000000000000000" pitchFamily="2" charset="0"/>
                <a:cs typeface="Ebrima" panose="02000000000000000000" pitchFamily="2" charset="0"/>
              </a:defRPr>
            </a:pPr>
            <a:endParaRPr lang="fr-FR"/>
          </a:p>
        </c:txPr>
        <c:crossAx val="963943984"/>
        <c:crosses val="autoZero"/>
        <c:crossBetween val="midCat"/>
      </c:valAx>
      <c:spPr>
        <a:noFill/>
        <a:ln>
          <a:noFill/>
        </a:ln>
        <a:effectLst/>
      </c:spPr>
    </c:plotArea>
    <c:plotVisOnly val="1"/>
    <c:dispBlanksAs val="zero"/>
    <c:showDLblsOverMax val="0"/>
  </c:chart>
  <c:spPr>
    <a:solidFill>
      <a:schemeClr val="bg1"/>
    </a:solidFill>
    <a:ln w="9525" cap="flat" cmpd="sng" algn="ctr">
      <a:noFill/>
      <a:round/>
    </a:ln>
    <a:effectLst/>
  </c:spPr>
  <c:txPr>
    <a:bodyPr/>
    <a:lstStyle/>
    <a:p>
      <a:pPr>
        <a:defRPr sz="800">
          <a:solidFill>
            <a:schemeClr val="tx1">
              <a:lumMod val="95000"/>
              <a:lumOff val="5000"/>
            </a:schemeClr>
          </a:solidFill>
          <a:latin typeface="Ebrima" panose="02000000000000000000" pitchFamily="2" charset="0"/>
          <a:ea typeface="Ebrima" panose="02000000000000000000" pitchFamily="2" charset="0"/>
          <a:cs typeface="Ebrima" panose="02000000000000000000" pitchFamily="2" charset="0"/>
        </a:defRPr>
      </a:pPr>
      <a:endParaRPr lang="fr-FR"/>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960" b="1" i="0" u="none" strike="noStrike" kern="1200" spc="0" baseline="0">
                <a:solidFill>
                  <a:srgbClr val="2B956A"/>
                </a:solidFill>
                <a:latin typeface="Ebrima" panose="02000000000000000000" pitchFamily="2" charset="0"/>
                <a:ea typeface="Ebrima" panose="02000000000000000000" pitchFamily="2" charset="0"/>
                <a:cs typeface="Ebrima" panose="02000000000000000000" pitchFamily="2" charset="0"/>
              </a:defRPr>
            </a:pPr>
            <a:r>
              <a:rPr lang="fr-FR" b="1">
                <a:solidFill>
                  <a:srgbClr val="2B956A"/>
                </a:solidFill>
              </a:rPr>
              <a:t>Fonds de roulement au 31/12</a:t>
            </a:r>
          </a:p>
        </c:rich>
      </c:tx>
      <c:overlay val="0"/>
      <c:spPr>
        <a:noFill/>
        <a:ln>
          <a:noFill/>
        </a:ln>
        <a:effectLst/>
      </c:spPr>
      <c:txPr>
        <a:bodyPr rot="0" spcFirstLastPara="1" vertOverflow="ellipsis" vert="horz" wrap="square" anchor="ctr" anchorCtr="1"/>
        <a:lstStyle/>
        <a:p>
          <a:pPr>
            <a:defRPr sz="960" b="1" i="0" u="none" strike="noStrike" kern="1200" spc="0" baseline="0">
              <a:solidFill>
                <a:srgbClr val="2B956A"/>
              </a:solidFill>
              <a:latin typeface="Ebrima" panose="02000000000000000000" pitchFamily="2" charset="0"/>
              <a:ea typeface="Ebrima" panose="02000000000000000000" pitchFamily="2" charset="0"/>
              <a:cs typeface="Ebrima" panose="02000000000000000000" pitchFamily="2" charset="0"/>
            </a:defRPr>
          </a:pPr>
          <a:endParaRPr lang="fr-FR"/>
        </a:p>
      </c:txPr>
    </c:title>
    <c:autoTitleDeleted val="0"/>
    <c:plotArea>
      <c:layout/>
      <c:areaChart>
        <c:grouping val="stacked"/>
        <c:varyColors val="0"/>
        <c:ser>
          <c:idx val="0"/>
          <c:order val="0"/>
          <c:tx>
            <c:strRef>
              <c:f>'4-Section d''Investissement'!$A$49</c:f>
              <c:strCache>
                <c:ptCount val="1"/>
                <c:pt idx="0">
                  <c:v>Fonds de roulement au 31/12/ =(A-B+C)</c:v>
                </c:pt>
              </c:strCache>
            </c:strRef>
          </c:tx>
          <c:spPr>
            <a:solidFill>
              <a:schemeClr val="accent1"/>
            </a:solidFill>
            <a:ln>
              <a:noFill/>
            </a:ln>
            <a:effectLst/>
          </c:spPr>
          <c:cat>
            <c:numRef>
              <c:extLst>
                <c:ext xmlns:c15="http://schemas.microsoft.com/office/drawing/2012/chart" uri="{02D57815-91ED-43cb-92C2-25804820EDAC}">
                  <c15:fullRef>
                    <c15:sqref>'4-Section d''Investissement'!$B$44:$L$44</c15:sqref>
                  </c15:fullRef>
                </c:ext>
              </c:extLst>
              <c:f>'4-Section d''Investissement'!$B$44:$E$44</c:f>
              <c:numCache>
                <c:formatCode>General</c:formatCode>
                <c:ptCount val="4"/>
                <c:pt idx="0">
                  <c:v>0</c:v>
                </c:pt>
                <c:pt idx="1">
                  <c:v>1</c:v>
                </c:pt>
                <c:pt idx="2">
                  <c:v>2</c:v>
                </c:pt>
                <c:pt idx="3">
                  <c:v>3</c:v>
                </c:pt>
              </c:numCache>
            </c:numRef>
          </c:cat>
          <c:val>
            <c:numRef>
              <c:extLst>
                <c:ext xmlns:c15="http://schemas.microsoft.com/office/drawing/2012/chart" uri="{02D57815-91ED-43cb-92C2-25804820EDAC}">
                  <c15:fullRef>
                    <c15:sqref>'4-Section d''Investissement'!$B$49:$L$49</c15:sqref>
                  </c15:fullRef>
                </c:ext>
              </c:extLst>
              <c:f>'4-Section d''Investissement'!$B$49:$E$49</c:f>
              <c:numCache>
                <c:formatCode>#,##0</c:formatCode>
                <c:ptCount val="4"/>
                <c:pt idx="0">
                  <c:v>0</c:v>
                </c:pt>
                <c:pt idx="1">
                  <c:v>0</c:v>
                </c:pt>
                <c:pt idx="2">
                  <c:v>0</c:v>
                </c:pt>
                <c:pt idx="3">
                  <c:v>0</c:v>
                </c:pt>
              </c:numCache>
            </c:numRef>
          </c:val>
          <c:extLst>
            <c:ext xmlns:c16="http://schemas.microsoft.com/office/drawing/2014/chart" uri="{C3380CC4-5D6E-409C-BE32-E72D297353CC}">
              <c16:uniqueId val="{00000000-986A-4874-A2CD-E7DCD17DB33B}"/>
            </c:ext>
          </c:extLst>
        </c:ser>
        <c:dLbls>
          <c:showLegendKey val="0"/>
          <c:showVal val="0"/>
          <c:showCatName val="0"/>
          <c:showSerName val="0"/>
          <c:showPercent val="0"/>
          <c:showBubbleSize val="0"/>
        </c:dLbls>
        <c:axId val="911953056"/>
        <c:axId val="911953536"/>
      </c:areaChart>
      <c:catAx>
        <c:axId val="911953056"/>
        <c:scaling>
          <c:orientation val="minMax"/>
        </c:scaling>
        <c:delete val="0"/>
        <c:axPos val="b"/>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800" b="0" i="0" u="none" strike="noStrike" kern="1200" baseline="0">
                <a:solidFill>
                  <a:schemeClr val="tx1">
                    <a:lumMod val="95000"/>
                    <a:lumOff val="5000"/>
                  </a:schemeClr>
                </a:solidFill>
                <a:latin typeface="Ebrima" panose="02000000000000000000" pitchFamily="2" charset="0"/>
                <a:ea typeface="Ebrima" panose="02000000000000000000" pitchFamily="2" charset="0"/>
                <a:cs typeface="Ebrima" panose="02000000000000000000" pitchFamily="2" charset="0"/>
              </a:defRPr>
            </a:pPr>
            <a:endParaRPr lang="fr-FR"/>
          </a:p>
        </c:txPr>
        <c:crossAx val="911953536"/>
        <c:crosses val="autoZero"/>
        <c:auto val="1"/>
        <c:lblAlgn val="ctr"/>
        <c:lblOffset val="100"/>
        <c:noMultiLvlLbl val="0"/>
      </c:catAx>
      <c:valAx>
        <c:axId val="911953536"/>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800" b="0" i="0" u="none" strike="noStrike" kern="1200" baseline="0">
                <a:solidFill>
                  <a:schemeClr val="tx1">
                    <a:lumMod val="95000"/>
                    <a:lumOff val="5000"/>
                  </a:schemeClr>
                </a:solidFill>
                <a:latin typeface="Ebrima" panose="02000000000000000000" pitchFamily="2" charset="0"/>
                <a:ea typeface="Ebrima" panose="02000000000000000000" pitchFamily="2" charset="0"/>
                <a:cs typeface="Ebrima" panose="02000000000000000000" pitchFamily="2" charset="0"/>
              </a:defRPr>
            </a:pPr>
            <a:endParaRPr lang="fr-FR"/>
          </a:p>
        </c:txPr>
        <c:crossAx val="911953056"/>
        <c:crosses val="autoZero"/>
        <c:crossBetween val="midCat"/>
      </c:valAx>
      <c:spPr>
        <a:noFill/>
        <a:ln>
          <a:noFill/>
        </a:ln>
        <a:effectLst/>
      </c:spPr>
    </c:plotArea>
    <c:plotVisOnly val="1"/>
    <c:dispBlanksAs val="zero"/>
    <c:showDLblsOverMax val="0"/>
  </c:chart>
  <c:spPr>
    <a:solidFill>
      <a:schemeClr val="bg1"/>
    </a:solidFill>
    <a:ln w="9525" cap="flat" cmpd="sng" algn="ctr">
      <a:noFill/>
      <a:round/>
    </a:ln>
    <a:effectLst/>
  </c:spPr>
  <c:txPr>
    <a:bodyPr/>
    <a:lstStyle/>
    <a:p>
      <a:pPr>
        <a:defRPr sz="800">
          <a:solidFill>
            <a:schemeClr val="tx1">
              <a:lumMod val="95000"/>
              <a:lumOff val="5000"/>
            </a:schemeClr>
          </a:solidFill>
          <a:latin typeface="Ebrima" panose="02000000000000000000" pitchFamily="2" charset="0"/>
          <a:ea typeface="Ebrima" panose="02000000000000000000" pitchFamily="2" charset="0"/>
          <a:cs typeface="Ebrima" panose="02000000000000000000" pitchFamily="2" charset="0"/>
        </a:defRPr>
      </a:pPr>
      <a:endParaRPr lang="fr-FR"/>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960" b="1" i="0" u="none" strike="noStrike" kern="1200" spc="0" baseline="0">
                <a:solidFill>
                  <a:schemeClr val="accent1">
                    <a:lumMod val="50000"/>
                  </a:schemeClr>
                </a:solidFill>
                <a:latin typeface="Ebrima" panose="02000000000000000000" pitchFamily="2" charset="0"/>
                <a:ea typeface="Ebrima" panose="02000000000000000000" pitchFamily="2" charset="0"/>
                <a:cs typeface="Ebrima" panose="02000000000000000000" pitchFamily="2" charset="0"/>
              </a:defRPr>
            </a:pPr>
            <a:r>
              <a:rPr lang="fr-FR" sz="960" b="1">
                <a:solidFill>
                  <a:schemeClr val="accent1">
                    <a:lumMod val="50000"/>
                  </a:schemeClr>
                </a:solidFill>
              </a:rPr>
              <a:t>Evolution des dépenses et recettes réelles de fonctionnment</a:t>
            </a:r>
          </a:p>
        </c:rich>
      </c:tx>
      <c:layout>
        <c:manualLayout>
          <c:xMode val="edge"/>
          <c:yMode val="edge"/>
          <c:x val="0.15835410152365881"/>
          <c:y val="2.8985507246376812E-2"/>
        </c:manualLayout>
      </c:layout>
      <c:overlay val="0"/>
      <c:spPr>
        <a:noFill/>
        <a:ln>
          <a:noFill/>
        </a:ln>
        <a:effectLst/>
      </c:spPr>
      <c:txPr>
        <a:bodyPr rot="0" spcFirstLastPara="1" vertOverflow="ellipsis" vert="horz" wrap="square" anchor="ctr" anchorCtr="1"/>
        <a:lstStyle/>
        <a:p>
          <a:pPr>
            <a:defRPr sz="960" b="1" i="0" u="none" strike="noStrike" kern="1200" spc="0" baseline="0">
              <a:solidFill>
                <a:schemeClr val="accent1">
                  <a:lumMod val="50000"/>
                </a:schemeClr>
              </a:solidFill>
              <a:latin typeface="Ebrima" panose="02000000000000000000" pitchFamily="2" charset="0"/>
              <a:ea typeface="Ebrima" panose="02000000000000000000" pitchFamily="2" charset="0"/>
              <a:cs typeface="Ebrima" panose="02000000000000000000" pitchFamily="2" charset="0"/>
            </a:defRPr>
          </a:pPr>
          <a:endParaRPr lang="fr-FR"/>
        </a:p>
      </c:txPr>
    </c:title>
    <c:autoTitleDeleted val="0"/>
    <c:plotArea>
      <c:layout>
        <c:manualLayout>
          <c:layoutTarget val="inner"/>
          <c:xMode val="edge"/>
          <c:yMode val="edge"/>
          <c:x val="9.2849677793339233E-2"/>
          <c:y val="0.20223107569721119"/>
          <c:w val="0.87020656768455484"/>
          <c:h val="0.4765007162949253"/>
        </c:manualLayout>
      </c:layout>
      <c:barChart>
        <c:barDir val="col"/>
        <c:grouping val="clustered"/>
        <c:varyColors val="0"/>
        <c:ser>
          <c:idx val="0"/>
          <c:order val="0"/>
          <c:tx>
            <c:strRef>
              <c:f>'2-Section de Fonctionnement'!$A$29</c:f>
              <c:strCache>
                <c:ptCount val="1"/>
                <c:pt idx="0">
                  <c:v>Total des recettes réelles de fonctionnement </c:v>
                </c:pt>
              </c:strCache>
            </c:strRef>
          </c:tx>
          <c:spPr>
            <a:solidFill>
              <a:schemeClr val="accent1"/>
            </a:solidFill>
            <a:ln>
              <a:noFill/>
            </a:ln>
            <a:effectLst/>
          </c:spPr>
          <c:invertIfNegative val="0"/>
          <c:cat>
            <c:strRef>
              <c:extLst>
                <c:ext xmlns:c15="http://schemas.microsoft.com/office/drawing/2012/chart" uri="{02D57815-91ED-43cb-92C2-25804820EDAC}">
                  <c15:fullRef>
                    <c15:sqref>'2-Section de Fonctionnement'!$C$28:$M$28</c15:sqref>
                  </c15:fullRef>
                </c:ext>
              </c:extLst>
              <c:f>'2-Section de Fonctionnement'!$C$28:$F$28</c:f>
              <c:strCache>
                <c:ptCount val="4"/>
                <c:pt idx="0">
                  <c:v>0</c:v>
                </c:pt>
                <c:pt idx="1">
                  <c:v>1</c:v>
                </c:pt>
                <c:pt idx="2">
                  <c:v>2</c:v>
                </c:pt>
                <c:pt idx="3">
                  <c:v>3</c:v>
                </c:pt>
              </c:strCache>
            </c:strRef>
          </c:cat>
          <c:val>
            <c:numRef>
              <c:extLst>
                <c:ext xmlns:c15="http://schemas.microsoft.com/office/drawing/2012/chart" uri="{02D57815-91ED-43cb-92C2-25804820EDAC}">
                  <c15:fullRef>
                    <c15:sqref>'2-Section de Fonctionnement'!$C$29:$M$29</c15:sqref>
                  </c15:fullRef>
                </c:ext>
              </c:extLst>
              <c:f>'2-Section de Fonctionnement'!$C$29:$F$29</c:f>
              <c:numCache>
                <c:formatCode>#,##0</c:formatCode>
                <c:ptCount val="4"/>
              </c:numCache>
            </c:numRef>
          </c:val>
          <c:extLst>
            <c:ext xmlns:c16="http://schemas.microsoft.com/office/drawing/2014/chart" uri="{C3380CC4-5D6E-409C-BE32-E72D297353CC}">
              <c16:uniqueId val="{00000000-BDEB-4A11-84E4-F261793A5EB7}"/>
            </c:ext>
          </c:extLst>
        </c:ser>
        <c:ser>
          <c:idx val="1"/>
          <c:order val="1"/>
          <c:tx>
            <c:strRef>
              <c:f>'2-Section de Fonctionnement'!$A$10:$B$10</c:f>
              <c:strCache>
                <c:ptCount val="2"/>
                <c:pt idx="0">
                  <c:v>Total des dépenses réelles de fonctionnement </c:v>
                </c:pt>
              </c:strCache>
            </c:strRef>
          </c:tx>
          <c:spPr>
            <a:solidFill>
              <a:schemeClr val="accent2"/>
            </a:solidFill>
            <a:ln>
              <a:noFill/>
            </a:ln>
            <a:effectLst/>
          </c:spPr>
          <c:invertIfNegative val="0"/>
          <c:cat>
            <c:strLit>
              <c:ptCount val="4"/>
              <c:pt idx="0">
                <c:v>0</c:v>
              </c:pt>
              <c:pt idx="1">
                <c:v>1</c:v>
              </c:pt>
              <c:pt idx="2">
                <c:v>2</c:v>
              </c:pt>
              <c:pt idx="3">
                <c:v>3</c:v>
              </c:pt>
              <c:extLst>
                <c:ext xmlns:c15="http://schemas.microsoft.com/office/drawing/2012/chart" uri="{02D57815-91ED-43cb-92C2-25804820EDAC}">
                  <c15:autoCat val="1"/>
                </c:ext>
              </c:extLst>
            </c:strLit>
          </c:cat>
          <c:val>
            <c:numRef>
              <c:extLst>
                <c:ext xmlns:c15="http://schemas.microsoft.com/office/drawing/2012/chart" uri="{02D57815-91ED-43cb-92C2-25804820EDAC}">
                  <c15:fullRef>
                    <c15:sqref>'2-Section de Fonctionnement'!$C$10:$M$10</c15:sqref>
                  </c15:fullRef>
                </c:ext>
              </c:extLst>
              <c:f>'2-Section de Fonctionnement'!$C$10:$F$10</c:f>
              <c:numCache>
                <c:formatCode>#,##0</c:formatCode>
                <c:ptCount val="4"/>
              </c:numCache>
            </c:numRef>
          </c:val>
          <c:extLst>
            <c:ext xmlns:c16="http://schemas.microsoft.com/office/drawing/2014/chart" uri="{C3380CC4-5D6E-409C-BE32-E72D297353CC}">
              <c16:uniqueId val="{00000001-BDEB-4A11-84E4-F261793A5EB7}"/>
            </c:ext>
          </c:extLst>
        </c:ser>
        <c:dLbls>
          <c:showLegendKey val="0"/>
          <c:showVal val="0"/>
          <c:showCatName val="0"/>
          <c:showSerName val="0"/>
          <c:showPercent val="0"/>
          <c:showBubbleSize val="0"/>
        </c:dLbls>
        <c:gapWidth val="150"/>
        <c:axId val="98525743"/>
        <c:axId val="98534863"/>
      </c:barChart>
      <c:catAx>
        <c:axId val="98525743"/>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800" b="0" i="0" u="none" strike="noStrike" kern="1200" baseline="0">
                <a:solidFill>
                  <a:schemeClr val="tx1">
                    <a:lumMod val="95000"/>
                    <a:lumOff val="5000"/>
                  </a:schemeClr>
                </a:solidFill>
                <a:latin typeface="Ebrima" panose="02000000000000000000" pitchFamily="2" charset="0"/>
                <a:ea typeface="Ebrima" panose="02000000000000000000" pitchFamily="2" charset="0"/>
                <a:cs typeface="Ebrima" panose="02000000000000000000" pitchFamily="2" charset="0"/>
              </a:defRPr>
            </a:pPr>
            <a:endParaRPr lang="fr-FR"/>
          </a:p>
        </c:txPr>
        <c:crossAx val="98534863"/>
        <c:crosses val="autoZero"/>
        <c:auto val="1"/>
        <c:lblAlgn val="ctr"/>
        <c:lblOffset val="100"/>
        <c:noMultiLvlLbl val="0"/>
      </c:catAx>
      <c:valAx>
        <c:axId val="98534863"/>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800" b="0" i="0" u="none" strike="noStrike" kern="1200" baseline="0">
                <a:solidFill>
                  <a:schemeClr val="tx1">
                    <a:lumMod val="95000"/>
                    <a:lumOff val="5000"/>
                  </a:schemeClr>
                </a:solidFill>
                <a:latin typeface="Ebrima" panose="02000000000000000000" pitchFamily="2" charset="0"/>
                <a:ea typeface="Ebrima" panose="02000000000000000000" pitchFamily="2" charset="0"/>
                <a:cs typeface="Ebrima" panose="02000000000000000000" pitchFamily="2" charset="0"/>
              </a:defRPr>
            </a:pPr>
            <a:endParaRPr lang="fr-FR"/>
          </a:p>
        </c:txPr>
        <c:crossAx val="98525743"/>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800" b="0" i="0" u="none" strike="noStrike" kern="1200" baseline="0">
              <a:solidFill>
                <a:schemeClr val="tx1">
                  <a:lumMod val="95000"/>
                  <a:lumOff val="5000"/>
                </a:schemeClr>
              </a:solidFill>
              <a:latin typeface="Ebrima" panose="02000000000000000000" pitchFamily="2" charset="0"/>
              <a:ea typeface="Ebrima" panose="02000000000000000000" pitchFamily="2" charset="0"/>
              <a:cs typeface="Ebrima" panose="02000000000000000000" pitchFamily="2" charset="0"/>
            </a:defRPr>
          </a:pPr>
          <a:endParaRPr lang="fr-FR"/>
        </a:p>
      </c:txPr>
    </c:legend>
    <c:plotVisOnly val="1"/>
    <c:dispBlanksAs val="gap"/>
    <c:showDLblsOverMax val="0"/>
  </c:chart>
  <c:spPr>
    <a:solidFill>
      <a:schemeClr val="bg1"/>
    </a:solidFill>
    <a:ln w="9525" cap="flat" cmpd="sng" algn="ctr">
      <a:noFill/>
      <a:round/>
    </a:ln>
    <a:effectLst/>
  </c:spPr>
  <c:txPr>
    <a:bodyPr/>
    <a:lstStyle/>
    <a:p>
      <a:pPr>
        <a:defRPr sz="800">
          <a:solidFill>
            <a:schemeClr val="tx1">
              <a:lumMod val="95000"/>
              <a:lumOff val="5000"/>
            </a:schemeClr>
          </a:solidFill>
          <a:latin typeface="Ebrima" panose="02000000000000000000" pitchFamily="2" charset="0"/>
          <a:ea typeface="Ebrima" panose="02000000000000000000" pitchFamily="2" charset="0"/>
          <a:cs typeface="Ebrima" panose="02000000000000000000" pitchFamily="2" charset="0"/>
        </a:defRPr>
      </a:pPr>
      <a:endParaRPr lang="fr-FR"/>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900" b="1" i="0" u="none" strike="noStrike" kern="1200" spc="0" baseline="0">
                <a:solidFill>
                  <a:srgbClr val="333F4F"/>
                </a:solidFill>
                <a:latin typeface="Ebrima" panose="02000000000000000000" pitchFamily="2" charset="0"/>
                <a:ea typeface="Ebrima" panose="02000000000000000000" pitchFamily="2" charset="0"/>
                <a:cs typeface="Ebrima" panose="02000000000000000000" pitchFamily="2" charset="0"/>
              </a:defRPr>
            </a:pPr>
            <a:r>
              <a:rPr lang="fr-FR" sz="900" b="1">
                <a:solidFill>
                  <a:srgbClr val="333F4F"/>
                </a:solidFill>
              </a:rPr>
              <a:t>Encours de dette au 31/12/</a:t>
            </a:r>
          </a:p>
        </c:rich>
      </c:tx>
      <c:layout>
        <c:manualLayout>
          <c:xMode val="edge"/>
          <c:yMode val="edge"/>
          <c:x val="0.26334247544899581"/>
          <c:y val="5.5813953488372092E-2"/>
        </c:manualLayout>
      </c:layout>
      <c:overlay val="0"/>
      <c:spPr>
        <a:noFill/>
        <a:ln>
          <a:noFill/>
        </a:ln>
        <a:effectLst/>
      </c:spPr>
      <c:txPr>
        <a:bodyPr rot="0" spcFirstLastPara="1" vertOverflow="ellipsis" vert="horz" wrap="square" anchor="ctr" anchorCtr="1"/>
        <a:lstStyle/>
        <a:p>
          <a:pPr>
            <a:defRPr sz="900" b="1" i="0" u="none" strike="noStrike" kern="1200" spc="0" baseline="0">
              <a:solidFill>
                <a:srgbClr val="333F4F"/>
              </a:solidFill>
              <a:latin typeface="Ebrima" panose="02000000000000000000" pitchFamily="2" charset="0"/>
              <a:ea typeface="Ebrima" panose="02000000000000000000" pitchFamily="2" charset="0"/>
              <a:cs typeface="Ebrima" panose="02000000000000000000" pitchFamily="2" charset="0"/>
            </a:defRPr>
          </a:pPr>
          <a:endParaRPr lang="fr-FR"/>
        </a:p>
      </c:txPr>
    </c:title>
    <c:autoTitleDeleted val="0"/>
    <c:plotArea>
      <c:layout/>
      <c:areaChart>
        <c:grouping val="stacked"/>
        <c:varyColors val="0"/>
        <c:ser>
          <c:idx val="0"/>
          <c:order val="0"/>
          <c:tx>
            <c:strRef>
              <c:f>'4-Section d''Investissement'!$A$52</c:f>
              <c:strCache>
                <c:ptCount val="1"/>
                <c:pt idx="0">
                  <c:v>Encours de dette au 31/12/</c:v>
                </c:pt>
              </c:strCache>
            </c:strRef>
          </c:tx>
          <c:spPr>
            <a:solidFill>
              <a:schemeClr val="accent1"/>
            </a:solidFill>
            <a:ln>
              <a:noFill/>
            </a:ln>
            <a:effectLst/>
          </c:spPr>
          <c:cat>
            <c:numRef>
              <c:extLst>
                <c:ext xmlns:c15="http://schemas.microsoft.com/office/drawing/2012/chart" uri="{02D57815-91ED-43cb-92C2-25804820EDAC}">
                  <c15:fullRef>
                    <c15:sqref>'4-Section d''Investissement'!$B$44:$L$44</c15:sqref>
                  </c15:fullRef>
                </c:ext>
              </c:extLst>
              <c:f>('4-Section d''Investissement'!$E$44,'4-Section d''Investissement'!$G$44:$L$44)</c:f>
              <c:numCache>
                <c:formatCode>General</c:formatCode>
                <c:ptCount val="7"/>
                <c:pt idx="0">
                  <c:v>3</c:v>
                </c:pt>
                <c:pt idx="1">
                  <c:v>4</c:v>
                </c:pt>
                <c:pt idx="2">
                  <c:v>5</c:v>
                </c:pt>
                <c:pt idx="3">
                  <c:v>6</c:v>
                </c:pt>
                <c:pt idx="4">
                  <c:v>7</c:v>
                </c:pt>
                <c:pt idx="5">
                  <c:v>8</c:v>
                </c:pt>
                <c:pt idx="6">
                  <c:v>9</c:v>
                </c:pt>
              </c:numCache>
            </c:numRef>
          </c:cat>
          <c:val>
            <c:numRef>
              <c:extLst>
                <c:ext xmlns:c15="http://schemas.microsoft.com/office/drawing/2012/chart" uri="{02D57815-91ED-43cb-92C2-25804820EDAC}">
                  <c15:fullRef>
                    <c15:sqref>'4-Section d''Investissement'!$B$52:$L$52</c15:sqref>
                  </c15:fullRef>
                </c:ext>
              </c:extLst>
              <c:f>('4-Section d''Investissement'!$E$52,'4-Section d''Investissement'!$G$52:$L$52)</c:f>
              <c:numCache>
                <c:formatCode>#,##0</c:formatCode>
                <c:ptCount val="7"/>
                <c:pt idx="0">
                  <c:v>0</c:v>
                </c:pt>
                <c:pt idx="1">
                  <c:v>0</c:v>
                </c:pt>
                <c:pt idx="2">
                  <c:v>0</c:v>
                </c:pt>
                <c:pt idx="3">
                  <c:v>0</c:v>
                </c:pt>
                <c:pt idx="4">
                  <c:v>0</c:v>
                </c:pt>
                <c:pt idx="5">
                  <c:v>0</c:v>
                </c:pt>
                <c:pt idx="6">
                  <c:v>0</c:v>
                </c:pt>
              </c:numCache>
            </c:numRef>
          </c:val>
          <c:extLst>
            <c:ext xmlns:c16="http://schemas.microsoft.com/office/drawing/2014/chart" uri="{C3380CC4-5D6E-409C-BE32-E72D297353CC}">
              <c16:uniqueId val="{00000000-E14A-4208-8246-06F0C19F1F71}"/>
            </c:ext>
          </c:extLst>
        </c:ser>
        <c:dLbls>
          <c:showLegendKey val="0"/>
          <c:showVal val="0"/>
          <c:showCatName val="0"/>
          <c:showSerName val="0"/>
          <c:showPercent val="0"/>
          <c:showBubbleSize val="0"/>
        </c:dLbls>
        <c:axId val="963943984"/>
        <c:axId val="963953584"/>
      </c:areaChart>
      <c:catAx>
        <c:axId val="963943984"/>
        <c:scaling>
          <c:orientation val="minMax"/>
        </c:scaling>
        <c:delete val="0"/>
        <c:axPos val="b"/>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800" b="0" i="0" u="none" strike="noStrike" kern="1200" baseline="0">
                <a:solidFill>
                  <a:schemeClr val="tx1">
                    <a:lumMod val="95000"/>
                    <a:lumOff val="5000"/>
                  </a:schemeClr>
                </a:solidFill>
                <a:latin typeface="Ebrima" panose="02000000000000000000" pitchFamily="2" charset="0"/>
                <a:ea typeface="Ebrima" panose="02000000000000000000" pitchFamily="2" charset="0"/>
                <a:cs typeface="Ebrima" panose="02000000000000000000" pitchFamily="2" charset="0"/>
              </a:defRPr>
            </a:pPr>
            <a:endParaRPr lang="fr-FR"/>
          </a:p>
        </c:txPr>
        <c:crossAx val="963953584"/>
        <c:crosses val="autoZero"/>
        <c:auto val="1"/>
        <c:lblAlgn val="ctr"/>
        <c:lblOffset val="100"/>
        <c:noMultiLvlLbl val="0"/>
      </c:catAx>
      <c:valAx>
        <c:axId val="963953584"/>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800" b="0" i="0" u="none" strike="noStrike" kern="1200" baseline="0">
                <a:solidFill>
                  <a:schemeClr val="tx1">
                    <a:lumMod val="95000"/>
                    <a:lumOff val="5000"/>
                  </a:schemeClr>
                </a:solidFill>
                <a:latin typeface="Ebrima" panose="02000000000000000000" pitchFamily="2" charset="0"/>
                <a:ea typeface="Ebrima" panose="02000000000000000000" pitchFamily="2" charset="0"/>
                <a:cs typeface="Ebrima" panose="02000000000000000000" pitchFamily="2" charset="0"/>
              </a:defRPr>
            </a:pPr>
            <a:endParaRPr lang="fr-FR"/>
          </a:p>
        </c:txPr>
        <c:crossAx val="963943984"/>
        <c:crosses val="autoZero"/>
        <c:crossBetween val="midCat"/>
      </c:valAx>
      <c:spPr>
        <a:noFill/>
        <a:ln>
          <a:noFill/>
        </a:ln>
        <a:effectLst/>
      </c:spPr>
    </c:plotArea>
    <c:plotVisOnly val="1"/>
    <c:dispBlanksAs val="zero"/>
    <c:showDLblsOverMax val="0"/>
  </c:chart>
  <c:spPr>
    <a:solidFill>
      <a:schemeClr val="bg1"/>
    </a:solidFill>
    <a:ln w="9525" cap="flat" cmpd="sng" algn="ctr">
      <a:noFill/>
      <a:round/>
    </a:ln>
    <a:effectLst/>
  </c:spPr>
  <c:txPr>
    <a:bodyPr/>
    <a:lstStyle/>
    <a:p>
      <a:pPr>
        <a:defRPr sz="800">
          <a:solidFill>
            <a:schemeClr val="tx1">
              <a:lumMod val="95000"/>
              <a:lumOff val="5000"/>
            </a:schemeClr>
          </a:solidFill>
          <a:latin typeface="Ebrima" panose="02000000000000000000" pitchFamily="2" charset="0"/>
          <a:ea typeface="Ebrima" panose="02000000000000000000" pitchFamily="2" charset="0"/>
          <a:cs typeface="Ebrima" panose="02000000000000000000" pitchFamily="2" charset="0"/>
        </a:defRPr>
      </a:pPr>
      <a:endParaRPr lang="fr-FR"/>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900" b="1" i="0" u="none" strike="noStrike" kern="1200" spc="0" baseline="0">
                <a:solidFill>
                  <a:srgbClr val="2B956A"/>
                </a:solidFill>
                <a:latin typeface="Ebrima" panose="02000000000000000000" pitchFamily="2" charset="0"/>
                <a:ea typeface="Ebrima" panose="02000000000000000000" pitchFamily="2" charset="0"/>
                <a:cs typeface="Ebrima" panose="02000000000000000000" pitchFamily="2" charset="0"/>
              </a:defRPr>
            </a:pPr>
            <a:r>
              <a:rPr lang="fr-FR" sz="900" b="1">
                <a:solidFill>
                  <a:srgbClr val="2B956A"/>
                </a:solidFill>
              </a:rPr>
              <a:t>Fonds de roulement au 31/12</a:t>
            </a:r>
          </a:p>
        </c:rich>
      </c:tx>
      <c:overlay val="0"/>
      <c:spPr>
        <a:noFill/>
        <a:ln>
          <a:noFill/>
        </a:ln>
        <a:effectLst/>
      </c:spPr>
      <c:txPr>
        <a:bodyPr rot="0" spcFirstLastPara="1" vertOverflow="ellipsis" vert="horz" wrap="square" anchor="ctr" anchorCtr="1"/>
        <a:lstStyle/>
        <a:p>
          <a:pPr>
            <a:defRPr sz="900" b="1" i="0" u="none" strike="noStrike" kern="1200" spc="0" baseline="0">
              <a:solidFill>
                <a:srgbClr val="2B956A"/>
              </a:solidFill>
              <a:latin typeface="Ebrima" panose="02000000000000000000" pitchFamily="2" charset="0"/>
              <a:ea typeface="Ebrima" panose="02000000000000000000" pitchFamily="2" charset="0"/>
              <a:cs typeface="Ebrima" panose="02000000000000000000" pitchFamily="2" charset="0"/>
            </a:defRPr>
          </a:pPr>
          <a:endParaRPr lang="fr-FR"/>
        </a:p>
      </c:txPr>
    </c:title>
    <c:autoTitleDeleted val="0"/>
    <c:plotArea>
      <c:layout/>
      <c:areaChart>
        <c:grouping val="stacked"/>
        <c:varyColors val="0"/>
        <c:ser>
          <c:idx val="0"/>
          <c:order val="0"/>
          <c:tx>
            <c:strRef>
              <c:f>'4-Section d''Investissement'!$A$49</c:f>
              <c:strCache>
                <c:ptCount val="1"/>
                <c:pt idx="0">
                  <c:v>Fonds de roulement au 31/12/ =(A-B+C)</c:v>
                </c:pt>
              </c:strCache>
            </c:strRef>
          </c:tx>
          <c:spPr>
            <a:solidFill>
              <a:schemeClr val="accent1"/>
            </a:solidFill>
            <a:ln>
              <a:noFill/>
            </a:ln>
            <a:effectLst/>
          </c:spPr>
          <c:cat>
            <c:numRef>
              <c:extLst>
                <c:ext xmlns:c15="http://schemas.microsoft.com/office/drawing/2012/chart" uri="{02D57815-91ED-43cb-92C2-25804820EDAC}">
                  <c15:fullRef>
                    <c15:sqref>'4-Section d''Investissement'!$B$44:$L$44</c15:sqref>
                  </c15:fullRef>
                </c:ext>
              </c:extLst>
              <c:f>('4-Section d''Investissement'!$E$44,'4-Section d''Investissement'!$G$44:$L$44)</c:f>
              <c:numCache>
                <c:formatCode>General</c:formatCode>
                <c:ptCount val="7"/>
                <c:pt idx="0">
                  <c:v>3</c:v>
                </c:pt>
                <c:pt idx="1">
                  <c:v>4</c:v>
                </c:pt>
                <c:pt idx="2">
                  <c:v>5</c:v>
                </c:pt>
                <c:pt idx="3">
                  <c:v>6</c:v>
                </c:pt>
                <c:pt idx="4">
                  <c:v>7</c:v>
                </c:pt>
                <c:pt idx="5">
                  <c:v>8</c:v>
                </c:pt>
                <c:pt idx="6">
                  <c:v>9</c:v>
                </c:pt>
              </c:numCache>
            </c:numRef>
          </c:cat>
          <c:val>
            <c:numRef>
              <c:extLst>
                <c:ext xmlns:c15="http://schemas.microsoft.com/office/drawing/2012/chart" uri="{02D57815-91ED-43cb-92C2-25804820EDAC}">
                  <c15:fullRef>
                    <c15:sqref>'4-Section d''Investissement'!$B$49:$L$49</c15:sqref>
                  </c15:fullRef>
                </c:ext>
              </c:extLst>
              <c:f>('4-Section d''Investissement'!$E$49,'4-Section d''Investissement'!$G$49:$L$49)</c:f>
              <c:numCache>
                <c:formatCode>#,##0</c:formatCode>
                <c:ptCount val="7"/>
                <c:pt idx="0">
                  <c:v>0</c:v>
                </c:pt>
                <c:pt idx="1">
                  <c:v>0</c:v>
                </c:pt>
                <c:pt idx="2">
                  <c:v>0</c:v>
                </c:pt>
                <c:pt idx="3">
                  <c:v>0</c:v>
                </c:pt>
                <c:pt idx="4">
                  <c:v>0</c:v>
                </c:pt>
                <c:pt idx="5">
                  <c:v>0</c:v>
                </c:pt>
                <c:pt idx="6">
                  <c:v>0</c:v>
                </c:pt>
              </c:numCache>
            </c:numRef>
          </c:val>
          <c:extLst>
            <c:ext xmlns:c16="http://schemas.microsoft.com/office/drawing/2014/chart" uri="{C3380CC4-5D6E-409C-BE32-E72D297353CC}">
              <c16:uniqueId val="{00000000-86DF-42AB-B9C9-2D0F1AA332CD}"/>
            </c:ext>
          </c:extLst>
        </c:ser>
        <c:dLbls>
          <c:showLegendKey val="0"/>
          <c:showVal val="0"/>
          <c:showCatName val="0"/>
          <c:showSerName val="0"/>
          <c:showPercent val="0"/>
          <c:showBubbleSize val="0"/>
        </c:dLbls>
        <c:axId val="911953056"/>
        <c:axId val="911953536"/>
      </c:areaChart>
      <c:catAx>
        <c:axId val="911953056"/>
        <c:scaling>
          <c:orientation val="minMax"/>
        </c:scaling>
        <c:delete val="0"/>
        <c:axPos val="b"/>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800" b="0" i="0" u="none" strike="noStrike" kern="1200" baseline="0">
                <a:solidFill>
                  <a:schemeClr val="tx1">
                    <a:lumMod val="95000"/>
                    <a:lumOff val="5000"/>
                  </a:schemeClr>
                </a:solidFill>
                <a:latin typeface="Ebrima" panose="02000000000000000000" pitchFamily="2" charset="0"/>
                <a:ea typeface="Ebrima" panose="02000000000000000000" pitchFamily="2" charset="0"/>
                <a:cs typeface="Ebrima" panose="02000000000000000000" pitchFamily="2" charset="0"/>
              </a:defRPr>
            </a:pPr>
            <a:endParaRPr lang="fr-FR"/>
          </a:p>
        </c:txPr>
        <c:crossAx val="911953536"/>
        <c:crosses val="autoZero"/>
        <c:auto val="1"/>
        <c:lblAlgn val="ctr"/>
        <c:lblOffset val="100"/>
        <c:noMultiLvlLbl val="0"/>
      </c:catAx>
      <c:valAx>
        <c:axId val="911953536"/>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800" b="0" i="0" u="none" strike="noStrike" kern="1200" baseline="0">
                <a:solidFill>
                  <a:schemeClr val="tx1">
                    <a:lumMod val="95000"/>
                    <a:lumOff val="5000"/>
                  </a:schemeClr>
                </a:solidFill>
                <a:latin typeface="Ebrima" panose="02000000000000000000" pitchFamily="2" charset="0"/>
                <a:ea typeface="Ebrima" panose="02000000000000000000" pitchFamily="2" charset="0"/>
                <a:cs typeface="Ebrima" panose="02000000000000000000" pitchFamily="2" charset="0"/>
              </a:defRPr>
            </a:pPr>
            <a:endParaRPr lang="fr-FR"/>
          </a:p>
        </c:txPr>
        <c:crossAx val="911953056"/>
        <c:crosses val="autoZero"/>
        <c:crossBetween val="midCat"/>
      </c:valAx>
      <c:spPr>
        <a:noFill/>
        <a:ln>
          <a:noFill/>
        </a:ln>
        <a:effectLst/>
      </c:spPr>
    </c:plotArea>
    <c:plotVisOnly val="1"/>
    <c:dispBlanksAs val="zero"/>
    <c:showDLblsOverMax val="0"/>
  </c:chart>
  <c:spPr>
    <a:solidFill>
      <a:schemeClr val="bg1"/>
    </a:solidFill>
    <a:ln w="9525" cap="flat" cmpd="sng" algn="ctr">
      <a:noFill/>
      <a:round/>
    </a:ln>
    <a:effectLst/>
  </c:spPr>
  <c:txPr>
    <a:bodyPr/>
    <a:lstStyle/>
    <a:p>
      <a:pPr>
        <a:defRPr sz="800">
          <a:solidFill>
            <a:schemeClr val="tx1">
              <a:lumMod val="95000"/>
              <a:lumOff val="5000"/>
            </a:schemeClr>
          </a:solidFill>
          <a:latin typeface="Ebrima" panose="02000000000000000000" pitchFamily="2" charset="0"/>
          <a:ea typeface="Ebrima" panose="02000000000000000000" pitchFamily="2" charset="0"/>
          <a:cs typeface="Ebrima" panose="02000000000000000000" pitchFamily="2" charset="0"/>
        </a:defRPr>
      </a:pPr>
      <a:endParaRPr lang="fr-FR"/>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960" b="1" i="0" u="none" strike="noStrike" kern="1200" spc="0" baseline="0">
                <a:solidFill>
                  <a:srgbClr val="002060"/>
                </a:solidFill>
                <a:latin typeface="Ebrima" panose="02000000000000000000" pitchFamily="2" charset="0"/>
                <a:ea typeface="Ebrima" panose="02000000000000000000" pitchFamily="2" charset="0"/>
                <a:cs typeface="Ebrima" panose="02000000000000000000" pitchFamily="2" charset="0"/>
              </a:defRPr>
            </a:pPr>
            <a:r>
              <a:rPr lang="fr-FR" b="1">
                <a:solidFill>
                  <a:srgbClr val="002060"/>
                </a:solidFill>
              </a:rPr>
              <a:t>Evolution de l'autofinancement</a:t>
            </a:r>
          </a:p>
        </c:rich>
      </c:tx>
      <c:overlay val="0"/>
      <c:spPr>
        <a:noFill/>
        <a:ln>
          <a:noFill/>
        </a:ln>
        <a:effectLst/>
      </c:spPr>
      <c:txPr>
        <a:bodyPr rot="0" spcFirstLastPara="1" vertOverflow="ellipsis" vert="horz" wrap="square" anchor="ctr" anchorCtr="1"/>
        <a:lstStyle/>
        <a:p>
          <a:pPr>
            <a:defRPr sz="960" b="1" i="0" u="none" strike="noStrike" kern="1200" spc="0" baseline="0">
              <a:solidFill>
                <a:srgbClr val="002060"/>
              </a:solidFill>
              <a:latin typeface="Ebrima" panose="02000000000000000000" pitchFamily="2" charset="0"/>
              <a:ea typeface="Ebrima" panose="02000000000000000000" pitchFamily="2" charset="0"/>
              <a:cs typeface="Ebrima" panose="02000000000000000000" pitchFamily="2" charset="0"/>
            </a:defRPr>
          </a:pPr>
          <a:endParaRPr lang="fr-FR"/>
        </a:p>
      </c:txPr>
    </c:title>
    <c:autoTitleDeleted val="0"/>
    <c:plotArea>
      <c:layout>
        <c:manualLayout>
          <c:layoutTarget val="inner"/>
          <c:xMode val="edge"/>
          <c:yMode val="edge"/>
          <c:x val="8.2599326750178129E-2"/>
          <c:y val="0.33270909415020516"/>
          <c:w val="0.9089099856327294"/>
          <c:h val="0.50351798149784288"/>
        </c:manualLayout>
      </c:layout>
      <c:lineChart>
        <c:grouping val="standard"/>
        <c:varyColors val="0"/>
        <c:ser>
          <c:idx val="0"/>
          <c:order val="0"/>
          <c:tx>
            <c:strRef>
              <c:f>'2-Section de Fonctionnement'!$A$48</c:f>
              <c:strCache>
                <c:ptCount val="1"/>
                <c:pt idx="0">
                  <c:v>Capacité d'autofinancement brute (hors non récurrent)</c:v>
                </c:pt>
              </c:strCache>
            </c:strRef>
          </c:tx>
          <c:spPr>
            <a:ln w="28575" cap="rnd">
              <a:solidFill>
                <a:schemeClr val="accent1"/>
              </a:solidFill>
              <a:round/>
            </a:ln>
            <a:effectLst/>
          </c:spPr>
          <c:marker>
            <c:symbol val="circle"/>
            <c:size val="5"/>
            <c:spPr>
              <a:solidFill>
                <a:schemeClr val="accent1"/>
              </a:solidFill>
              <a:ln w="9525">
                <a:solidFill>
                  <a:schemeClr val="accent1"/>
                </a:solidFill>
              </a:ln>
              <a:effectLst/>
            </c:spPr>
          </c:marker>
          <c:cat>
            <c:numRef>
              <c:extLst>
                <c:ext xmlns:c15="http://schemas.microsoft.com/office/drawing/2012/chart" uri="{02D57815-91ED-43cb-92C2-25804820EDAC}">
                  <c15:fullRef>
                    <c15:sqref>'2-Section de Fonctionnement'!$B$46:$M$46</c15:sqref>
                  </c15:fullRef>
                </c:ext>
              </c:extLst>
              <c:f>('2-Section de Fonctionnement'!$F$46,'2-Section de Fonctionnement'!$H$46:$M$46)</c:f>
              <c:numCache>
                <c:formatCode>General</c:formatCode>
                <c:ptCount val="7"/>
                <c:pt idx="0">
                  <c:v>3</c:v>
                </c:pt>
                <c:pt idx="1">
                  <c:v>4</c:v>
                </c:pt>
                <c:pt idx="2">
                  <c:v>5</c:v>
                </c:pt>
                <c:pt idx="3">
                  <c:v>6</c:v>
                </c:pt>
                <c:pt idx="4">
                  <c:v>7</c:v>
                </c:pt>
                <c:pt idx="5">
                  <c:v>8</c:v>
                </c:pt>
                <c:pt idx="6">
                  <c:v>9</c:v>
                </c:pt>
              </c:numCache>
            </c:numRef>
          </c:cat>
          <c:val>
            <c:numRef>
              <c:extLst>
                <c:ext xmlns:c15="http://schemas.microsoft.com/office/drawing/2012/chart" uri="{02D57815-91ED-43cb-92C2-25804820EDAC}">
                  <c15:fullRef>
                    <c15:sqref>'2-Section de Fonctionnement'!$B$48:$M$48</c15:sqref>
                  </c15:fullRef>
                </c:ext>
              </c:extLst>
              <c:f>('2-Section de Fonctionnement'!$F$48,'2-Section de Fonctionnement'!$H$48:$M$48)</c:f>
              <c:numCache>
                <c:formatCode>#,##0</c:formatCode>
                <c:ptCount val="7"/>
                <c:pt idx="0">
                  <c:v>0</c:v>
                </c:pt>
                <c:pt idx="1">
                  <c:v>0</c:v>
                </c:pt>
                <c:pt idx="2">
                  <c:v>0</c:v>
                </c:pt>
                <c:pt idx="3">
                  <c:v>0</c:v>
                </c:pt>
                <c:pt idx="4">
                  <c:v>0</c:v>
                </c:pt>
                <c:pt idx="5">
                  <c:v>0</c:v>
                </c:pt>
                <c:pt idx="6">
                  <c:v>0</c:v>
                </c:pt>
              </c:numCache>
            </c:numRef>
          </c:val>
          <c:smooth val="0"/>
          <c:extLst>
            <c:ext xmlns:c16="http://schemas.microsoft.com/office/drawing/2014/chart" uri="{C3380CC4-5D6E-409C-BE32-E72D297353CC}">
              <c16:uniqueId val="{00000000-FFC4-40DA-9343-0CF7531F45CA}"/>
            </c:ext>
          </c:extLst>
        </c:ser>
        <c:ser>
          <c:idx val="1"/>
          <c:order val="1"/>
          <c:tx>
            <c:strRef>
              <c:f>'2-Section de Fonctionnement'!$A$53</c:f>
              <c:strCache>
                <c:ptCount val="1"/>
                <c:pt idx="0">
                  <c:v>Remboursement du capital de la dette</c:v>
                </c:pt>
              </c:strCache>
            </c:strRef>
          </c:tx>
          <c:spPr>
            <a:ln w="28575" cap="rnd">
              <a:solidFill>
                <a:schemeClr val="accent2"/>
              </a:solidFill>
              <a:round/>
            </a:ln>
            <a:effectLst/>
          </c:spPr>
          <c:marker>
            <c:symbol val="circle"/>
            <c:size val="5"/>
            <c:spPr>
              <a:solidFill>
                <a:schemeClr val="accent2"/>
              </a:solidFill>
              <a:ln w="9525">
                <a:solidFill>
                  <a:schemeClr val="accent2"/>
                </a:solidFill>
              </a:ln>
              <a:effectLst/>
            </c:spPr>
          </c:marker>
          <c:cat>
            <c:numRef>
              <c:extLst>
                <c:ext xmlns:c15="http://schemas.microsoft.com/office/drawing/2012/chart" uri="{02D57815-91ED-43cb-92C2-25804820EDAC}">
                  <c15:fullRef>
                    <c15:sqref>'2-Section de Fonctionnement'!$B$46:$M$46</c15:sqref>
                  </c15:fullRef>
                </c:ext>
              </c:extLst>
              <c:f>('2-Section de Fonctionnement'!$F$46,'2-Section de Fonctionnement'!$H$46:$M$46)</c:f>
              <c:numCache>
                <c:formatCode>General</c:formatCode>
                <c:ptCount val="7"/>
                <c:pt idx="0">
                  <c:v>3</c:v>
                </c:pt>
                <c:pt idx="1">
                  <c:v>4</c:v>
                </c:pt>
                <c:pt idx="2">
                  <c:v>5</c:v>
                </c:pt>
                <c:pt idx="3">
                  <c:v>6</c:v>
                </c:pt>
                <c:pt idx="4">
                  <c:v>7</c:v>
                </c:pt>
                <c:pt idx="5">
                  <c:v>8</c:v>
                </c:pt>
                <c:pt idx="6">
                  <c:v>9</c:v>
                </c:pt>
              </c:numCache>
            </c:numRef>
          </c:cat>
          <c:val>
            <c:numRef>
              <c:extLst>
                <c:ext xmlns:c15="http://schemas.microsoft.com/office/drawing/2012/chart" uri="{02D57815-91ED-43cb-92C2-25804820EDAC}">
                  <c15:fullRef>
                    <c15:sqref>'2-Section de Fonctionnement'!$B$53:$M$53</c15:sqref>
                  </c15:fullRef>
                </c:ext>
              </c:extLst>
              <c:f>('2-Section de Fonctionnement'!$F$53,'2-Section de Fonctionnement'!$H$53:$M$53)</c:f>
              <c:numCache>
                <c:formatCode>#,##0</c:formatCode>
                <c:ptCount val="7"/>
                <c:pt idx="0">
                  <c:v>0</c:v>
                </c:pt>
                <c:pt idx="1">
                  <c:v>0</c:v>
                </c:pt>
                <c:pt idx="2">
                  <c:v>0</c:v>
                </c:pt>
                <c:pt idx="3">
                  <c:v>0</c:v>
                </c:pt>
                <c:pt idx="4">
                  <c:v>0</c:v>
                </c:pt>
                <c:pt idx="5">
                  <c:v>0</c:v>
                </c:pt>
                <c:pt idx="6">
                  <c:v>0</c:v>
                </c:pt>
              </c:numCache>
            </c:numRef>
          </c:val>
          <c:smooth val="0"/>
          <c:extLst>
            <c:ext xmlns:c16="http://schemas.microsoft.com/office/drawing/2014/chart" uri="{C3380CC4-5D6E-409C-BE32-E72D297353CC}">
              <c16:uniqueId val="{00000001-FFC4-40DA-9343-0CF7531F45CA}"/>
            </c:ext>
          </c:extLst>
        </c:ser>
        <c:dLbls>
          <c:showLegendKey val="0"/>
          <c:showVal val="0"/>
          <c:showCatName val="0"/>
          <c:showSerName val="0"/>
          <c:showPercent val="0"/>
          <c:showBubbleSize val="0"/>
        </c:dLbls>
        <c:marker val="1"/>
        <c:smooth val="0"/>
        <c:axId val="449552976"/>
        <c:axId val="449556816"/>
      </c:lineChart>
      <c:catAx>
        <c:axId val="44955297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1380000" spcFirstLastPara="1" vertOverflow="ellipsis" wrap="square" anchor="ctr" anchorCtr="1"/>
          <a:lstStyle/>
          <a:p>
            <a:pPr>
              <a:defRPr sz="800" b="0" i="0" u="none" strike="noStrike" kern="1200" baseline="0">
                <a:solidFill>
                  <a:schemeClr val="tx1"/>
                </a:solidFill>
                <a:latin typeface="Ebrima" panose="02000000000000000000" pitchFamily="2" charset="0"/>
                <a:ea typeface="Ebrima" panose="02000000000000000000" pitchFamily="2" charset="0"/>
                <a:cs typeface="Ebrima" panose="02000000000000000000" pitchFamily="2" charset="0"/>
              </a:defRPr>
            </a:pPr>
            <a:endParaRPr lang="fr-FR"/>
          </a:p>
        </c:txPr>
        <c:crossAx val="449556816"/>
        <c:crosses val="autoZero"/>
        <c:auto val="1"/>
        <c:lblAlgn val="ctr"/>
        <c:lblOffset val="100"/>
        <c:noMultiLvlLbl val="0"/>
      </c:catAx>
      <c:valAx>
        <c:axId val="449556816"/>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800" b="0" i="0" u="none" strike="noStrike" kern="1200" baseline="0">
                <a:solidFill>
                  <a:schemeClr val="tx1"/>
                </a:solidFill>
                <a:latin typeface="Ebrima" panose="02000000000000000000" pitchFamily="2" charset="0"/>
                <a:ea typeface="Ebrima" panose="02000000000000000000" pitchFamily="2" charset="0"/>
                <a:cs typeface="Ebrima" panose="02000000000000000000" pitchFamily="2" charset="0"/>
              </a:defRPr>
            </a:pPr>
            <a:endParaRPr lang="fr-FR"/>
          </a:p>
        </c:txPr>
        <c:crossAx val="449552976"/>
        <c:crosses val="autoZero"/>
        <c:crossBetween val="between"/>
      </c:valAx>
      <c:spPr>
        <a:noFill/>
        <a:ln>
          <a:noFill/>
        </a:ln>
        <a:effectLst/>
      </c:spPr>
    </c:plotArea>
    <c:legend>
      <c:legendPos val="t"/>
      <c:overlay val="0"/>
      <c:spPr>
        <a:noFill/>
        <a:ln>
          <a:noFill/>
        </a:ln>
        <a:effectLst/>
      </c:spPr>
      <c:txPr>
        <a:bodyPr rot="0" spcFirstLastPara="1" vertOverflow="ellipsis" vert="horz" wrap="square" anchor="ctr" anchorCtr="1"/>
        <a:lstStyle/>
        <a:p>
          <a:pPr>
            <a:defRPr sz="800" b="0" i="0" u="none" strike="noStrike" kern="1200" baseline="0">
              <a:solidFill>
                <a:schemeClr val="tx1"/>
              </a:solidFill>
              <a:latin typeface="Ebrima" panose="02000000000000000000" pitchFamily="2" charset="0"/>
              <a:ea typeface="Ebrima" panose="02000000000000000000" pitchFamily="2" charset="0"/>
              <a:cs typeface="Ebrima" panose="02000000000000000000" pitchFamily="2" charset="0"/>
            </a:defRPr>
          </a:pPr>
          <a:endParaRPr lang="fr-FR"/>
        </a:p>
      </c:txPr>
    </c:legend>
    <c:plotVisOnly val="1"/>
    <c:dispBlanksAs val="gap"/>
    <c:showDLblsOverMax val="0"/>
  </c:chart>
  <c:spPr>
    <a:solidFill>
      <a:schemeClr val="bg1"/>
    </a:solidFill>
    <a:ln w="9525" cap="flat" cmpd="sng" algn="ctr">
      <a:noFill/>
      <a:round/>
    </a:ln>
    <a:effectLst/>
  </c:spPr>
  <c:txPr>
    <a:bodyPr/>
    <a:lstStyle/>
    <a:p>
      <a:pPr>
        <a:defRPr sz="800">
          <a:solidFill>
            <a:schemeClr val="tx1"/>
          </a:solidFill>
          <a:latin typeface="Ebrima" panose="02000000000000000000" pitchFamily="2" charset="0"/>
          <a:ea typeface="Ebrima" panose="02000000000000000000" pitchFamily="2" charset="0"/>
          <a:cs typeface="Ebrima" panose="02000000000000000000" pitchFamily="2" charset="0"/>
        </a:defRPr>
      </a:pPr>
      <a:endParaRPr lang="fr-FR"/>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lgn="ctr" rtl="0">
            <a:defRPr sz="960" b="1" i="0" u="none" strike="noStrike" kern="1200" spc="0" baseline="0">
              <a:solidFill>
                <a:srgbClr val="2B956A"/>
              </a:solidFill>
              <a:latin typeface="Ebrima" panose="02000000000000000000" pitchFamily="2" charset="0"/>
              <a:ea typeface="Ebrima" panose="02000000000000000000" pitchFamily="2" charset="0"/>
              <a:cs typeface="Ebrima" panose="02000000000000000000" pitchFamily="2" charset="0"/>
            </a:defRPr>
          </a:pPr>
          <a:endParaRPr lang="fr-FR"/>
        </a:p>
      </c:txPr>
    </c:title>
    <c:autoTitleDeleted val="0"/>
    <c:plotArea>
      <c:layout/>
      <c:lineChart>
        <c:grouping val="standard"/>
        <c:varyColors val="0"/>
        <c:ser>
          <c:idx val="0"/>
          <c:order val="0"/>
          <c:tx>
            <c:strRef>
              <c:f>'4-Section d''Investissement'!$A$55</c:f>
              <c:strCache>
                <c:ptCount val="1"/>
                <c:pt idx="0">
                  <c:v>Capacité dynamique de désendettement</c:v>
                </c:pt>
              </c:strCache>
            </c:strRef>
          </c:tx>
          <c:spPr>
            <a:ln w="28575" cap="rnd">
              <a:solidFill>
                <a:schemeClr val="accent1"/>
              </a:solidFill>
              <a:round/>
            </a:ln>
            <a:effectLst/>
          </c:spPr>
          <c:marker>
            <c:symbol val="circle"/>
            <c:size val="5"/>
            <c:spPr>
              <a:solidFill>
                <a:schemeClr val="accent1"/>
              </a:solidFill>
              <a:ln w="9525">
                <a:solidFill>
                  <a:schemeClr val="accent1"/>
                </a:solidFill>
              </a:ln>
              <a:effectLst/>
            </c:spPr>
          </c:marker>
          <c:cat>
            <c:numRef>
              <c:extLst>
                <c:ext xmlns:c15="http://schemas.microsoft.com/office/drawing/2012/chart" uri="{02D57815-91ED-43cb-92C2-25804820EDAC}">
                  <c15:fullRef>
                    <c15:sqref>'4-Section d''Investissement'!$B$44:$L$44</c15:sqref>
                  </c15:fullRef>
                </c:ext>
              </c:extLst>
              <c:f>('4-Section d''Investissement'!$B$44:$E$44,'4-Section d''Investissement'!$G$44:$L$44)</c:f>
              <c:numCache>
                <c:formatCode>General</c:formatCode>
                <c:ptCount val="10"/>
                <c:pt idx="0">
                  <c:v>0</c:v>
                </c:pt>
                <c:pt idx="1">
                  <c:v>1</c:v>
                </c:pt>
                <c:pt idx="2">
                  <c:v>2</c:v>
                </c:pt>
                <c:pt idx="3">
                  <c:v>3</c:v>
                </c:pt>
                <c:pt idx="4">
                  <c:v>4</c:v>
                </c:pt>
                <c:pt idx="5">
                  <c:v>5</c:v>
                </c:pt>
                <c:pt idx="6">
                  <c:v>6</c:v>
                </c:pt>
                <c:pt idx="7">
                  <c:v>7</c:v>
                </c:pt>
                <c:pt idx="8">
                  <c:v>8</c:v>
                </c:pt>
                <c:pt idx="9">
                  <c:v>9</c:v>
                </c:pt>
              </c:numCache>
            </c:numRef>
          </c:cat>
          <c:val>
            <c:numRef>
              <c:extLst>
                <c:ext xmlns:c15="http://schemas.microsoft.com/office/drawing/2012/chart" uri="{02D57815-91ED-43cb-92C2-25804820EDAC}">
                  <c15:fullRef>
                    <c15:sqref>'4-Section d''Investissement'!$B$55:$L$55</c15:sqref>
                  </c15:fullRef>
                </c:ext>
              </c:extLst>
              <c:f>('4-Section d''Investissement'!$B$55:$E$55,'4-Section d''Investissement'!$G$55:$L$55)</c:f>
              <c:numCache>
                <c:formatCode>0.0</c:formatCode>
                <c:ptCount val="10"/>
                <c:pt idx="0">
                  <c:v>0</c:v>
                </c:pt>
                <c:pt idx="1">
                  <c:v>0</c:v>
                </c:pt>
                <c:pt idx="2">
                  <c:v>0</c:v>
                </c:pt>
                <c:pt idx="3">
                  <c:v>0</c:v>
                </c:pt>
                <c:pt idx="4" formatCode="#\ ##0.0">
                  <c:v>0</c:v>
                </c:pt>
                <c:pt idx="5" formatCode="#\ ##0.0">
                  <c:v>0</c:v>
                </c:pt>
                <c:pt idx="6" formatCode="#\ ##0.0">
                  <c:v>0</c:v>
                </c:pt>
                <c:pt idx="7" formatCode="#\ ##0.0">
                  <c:v>0</c:v>
                </c:pt>
                <c:pt idx="8" formatCode="#\ ##0.0">
                  <c:v>0</c:v>
                </c:pt>
                <c:pt idx="9" formatCode="#\ ##0.0">
                  <c:v>0</c:v>
                </c:pt>
              </c:numCache>
            </c:numRef>
          </c:val>
          <c:smooth val="0"/>
          <c:extLst>
            <c:ext xmlns:c16="http://schemas.microsoft.com/office/drawing/2014/chart" uri="{C3380CC4-5D6E-409C-BE32-E72D297353CC}">
              <c16:uniqueId val="{00000000-0AA4-4F44-8827-099E8382314A}"/>
            </c:ext>
          </c:extLst>
        </c:ser>
        <c:dLbls>
          <c:showLegendKey val="0"/>
          <c:showVal val="0"/>
          <c:showCatName val="0"/>
          <c:showSerName val="0"/>
          <c:showPercent val="0"/>
          <c:showBubbleSize val="0"/>
        </c:dLbls>
        <c:marker val="1"/>
        <c:smooth val="0"/>
        <c:axId val="1988006864"/>
        <c:axId val="1988008784"/>
      </c:lineChart>
      <c:catAx>
        <c:axId val="198800686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800" b="0" i="0" u="none" strike="noStrike" kern="1200" baseline="0">
                <a:solidFill>
                  <a:schemeClr val="tx1">
                    <a:lumMod val="95000"/>
                    <a:lumOff val="5000"/>
                  </a:schemeClr>
                </a:solidFill>
                <a:latin typeface="Ebrima" panose="02000000000000000000" pitchFamily="2" charset="0"/>
                <a:ea typeface="Ebrima" panose="02000000000000000000" pitchFamily="2" charset="0"/>
                <a:cs typeface="Ebrima" panose="02000000000000000000" pitchFamily="2" charset="0"/>
              </a:defRPr>
            </a:pPr>
            <a:endParaRPr lang="fr-FR"/>
          </a:p>
        </c:txPr>
        <c:crossAx val="1988008784"/>
        <c:crosses val="autoZero"/>
        <c:auto val="1"/>
        <c:lblAlgn val="ctr"/>
        <c:lblOffset val="100"/>
        <c:noMultiLvlLbl val="0"/>
      </c:catAx>
      <c:valAx>
        <c:axId val="1988008784"/>
        <c:scaling>
          <c:orientation val="minMax"/>
        </c:scaling>
        <c:delete val="0"/>
        <c:axPos val="l"/>
        <c:majorGridlines>
          <c:spPr>
            <a:ln w="9525" cap="flat" cmpd="sng" algn="ctr">
              <a:solidFill>
                <a:schemeClr val="tx1">
                  <a:lumMod val="15000"/>
                  <a:lumOff val="85000"/>
                </a:schemeClr>
              </a:solidFill>
              <a:round/>
            </a:ln>
            <a:effectLst/>
          </c:spPr>
        </c:majorGridlines>
        <c:numFmt formatCode="0.0" sourceLinked="1"/>
        <c:majorTickMark val="none"/>
        <c:minorTickMark val="none"/>
        <c:tickLblPos val="nextTo"/>
        <c:spPr>
          <a:noFill/>
          <a:ln>
            <a:noFill/>
          </a:ln>
          <a:effectLst/>
        </c:spPr>
        <c:txPr>
          <a:bodyPr rot="-60000000" spcFirstLastPara="1" vertOverflow="ellipsis" vert="horz" wrap="square" anchor="ctr" anchorCtr="1"/>
          <a:lstStyle/>
          <a:p>
            <a:pPr>
              <a:defRPr sz="800" b="0" i="0" u="none" strike="noStrike" kern="1200" baseline="0">
                <a:solidFill>
                  <a:schemeClr val="tx1">
                    <a:lumMod val="95000"/>
                    <a:lumOff val="5000"/>
                  </a:schemeClr>
                </a:solidFill>
                <a:latin typeface="Ebrima" panose="02000000000000000000" pitchFamily="2" charset="0"/>
                <a:ea typeface="Ebrima" panose="02000000000000000000" pitchFamily="2" charset="0"/>
                <a:cs typeface="Ebrima" panose="02000000000000000000" pitchFamily="2" charset="0"/>
              </a:defRPr>
            </a:pPr>
            <a:endParaRPr lang="fr-FR"/>
          </a:p>
        </c:txPr>
        <c:crossAx val="1988006864"/>
        <c:crosses val="autoZero"/>
        <c:crossBetween val="between"/>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sz="800">
          <a:solidFill>
            <a:schemeClr val="tx1">
              <a:lumMod val="95000"/>
              <a:lumOff val="5000"/>
            </a:schemeClr>
          </a:solidFill>
          <a:latin typeface="Ebrima" panose="02000000000000000000" pitchFamily="2" charset="0"/>
          <a:ea typeface="Ebrima" panose="02000000000000000000" pitchFamily="2" charset="0"/>
          <a:cs typeface="Ebrima" panose="02000000000000000000" pitchFamily="2" charset="0"/>
        </a:defRPr>
      </a:pPr>
      <a:endParaRPr lang="fr-FR"/>
    </a:p>
  </c:tx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960" b="1" i="0" u="none" strike="noStrike" kern="1200" spc="0" baseline="0">
                <a:solidFill>
                  <a:srgbClr val="2B956A"/>
                </a:solidFill>
                <a:latin typeface="Ebrima" panose="02000000000000000000" pitchFamily="2" charset="0"/>
                <a:ea typeface="Ebrima" panose="02000000000000000000" pitchFamily="2" charset="0"/>
                <a:cs typeface="Ebrima" panose="02000000000000000000" pitchFamily="2" charset="0"/>
              </a:defRPr>
            </a:pPr>
            <a:r>
              <a:rPr lang="fr-FR" b="1" i="0">
                <a:solidFill>
                  <a:srgbClr val="2B956A"/>
                </a:solidFill>
              </a:rPr>
              <a:t>Evolution de l'autofinancement</a:t>
            </a:r>
          </a:p>
        </c:rich>
      </c:tx>
      <c:overlay val="0"/>
      <c:spPr>
        <a:noFill/>
        <a:ln>
          <a:noFill/>
        </a:ln>
        <a:effectLst/>
      </c:spPr>
      <c:txPr>
        <a:bodyPr rot="0" spcFirstLastPara="1" vertOverflow="ellipsis" vert="horz" wrap="square" anchor="ctr" anchorCtr="1"/>
        <a:lstStyle/>
        <a:p>
          <a:pPr>
            <a:defRPr sz="960" b="1" i="0" u="none" strike="noStrike" kern="1200" spc="0" baseline="0">
              <a:solidFill>
                <a:srgbClr val="2B956A"/>
              </a:solidFill>
              <a:latin typeface="Ebrima" panose="02000000000000000000" pitchFamily="2" charset="0"/>
              <a:ea typeface="Ebrima" panose="02000000000000000000" pitchFamily="2" charset="0"/>
              <a:cs typeface="Ebrima" panose="02000000000000000000" pitchFamily="2" charset="0"/>
            </a:defRPr>
          </a:pPr>
          <a:endParaRPr lang="fr-FR"/>
        </a:p>
      </c:txPr>
    </c:title>
    <c:autoTitleDeleted val="0"/>
    <c:plotArea>
      <c:layout>
        <c:manualLayout>
          <c:layoutTarget val="inner"/>
          <c:xMode val="edge"/>
          <c:yMode val="edge"/>
          <c:x val="6.9437335958005247E-2"/>
          <c:y val="0.13477088299742349"/>
          <c:w val="0.88243967945594048"/>
          <c:h val="0.56099210306135328"/>
        </c:manualLayout>
      </c:layout>
      <c:lineChart>
        <c:grouping val="standard"/>
        <c:varyColors val="0"/>
        <c:ser>
          <c:idx val="0"/>
          <c:order val="0"/>
          <c:tx>
            <c:strRef>
              <c:f>'2-Section de Fonctionnement'!$A$48</c:f>
              <c:strCache>
                <c:ptCount val="1"/>
                <c:pt idx="0">
                  <c:v>Capacité d'autofinancement brute (hors non récurrent)</c:v>
                </c:pt>
              </c:strCache>
            </c:strRef>
          </c:tx>
          <c:spPr>
            <a:ln w="28575" cap="rnd">
              <a:solidFill>
                <a:schemeClr val="accent1"/>
              </a:solidFill>
              <a:round/>
            </a:ln>
            <a:effectLst/>
          </c:spPr>
          <c:marker>
            <c:symbol val="circle"/>
            <c:size val="5"/>
            <c:spPr>
              <a:solidFill>
                <a:schemeClr val="accent1"/>
              </a:solidFill>
              <a:ln w="9525">
                <a:solidFill>
                  <a:schemeClr val="accent1"/>
                </a:solidFill>
              </a:ln>
              <a:effectLst/>
            </c:spPr>
          </c:marker>
          <c:cat>
            <c:numRef>
              <c:extLst>
                <c:ext xmlns:c15="http://schemas.microsoft.com/office/drawing/2012/chart" uri="{02D57815-91ED-43cb-92C2-25804820EDAC}">
                  <c15:fullRef>
                    <c15:sqref>'2-Section de Fonctionnement'!$B$46:$M$46</c15:sqref>
                  </c15:fullRef>
                </c:ext>
              </c:extLst>
              <c:f>('2-Section de Fonctionnement'!$C$46:$F$46,'2-Section de Fonctionnement'!$H$46:$M$46)</c:f>
              <c:numCache>
                <c:formatCode>General</c:formatCode>
                <c:ptCount val="10"/>
                <c:pt idx="0">
                  <c:v>0</c:v>
                </c:pt>
                <c:pt idx="1">
                  <c:v>1</c:v>
                </c:pt>
                <c:pt idx="2">
                  <c:v>2</c:v>
                </c:pt>
                <c:pt idx="3">
                  <c:v>3</c:v>
                </c:pt>
                <c:pt idx="4">
                  <c:v>4</c:v>
                </c:pt>
                <c:pt idx="5">
                  <c:v>5</c:v>
                </c:pt>
                <c:pt idx="6">
                  <c:v>6</c:v>
                </c:pt>
                <c:pt idx="7">
                  <c:v>7</c:v>
                </c:pt>
                <c:pt idx="8">
                  <c:v>8</c:v>
                </c:pt>
                <c:pt idx="9">
                  <c:v>9</c:v>
                </c:pt>
              </c:numCache>
            </c:numRef>
          </c:cat>
          <c:val>
            <c:numRef>
              <c:extLst>
                <c:ext xmlns:c15="http://schemas.microsoft.com/office/drawing/2012/chart" uri="{02D57815-91ED-43cb-92C2-25804820EDAC}">
                  <c15:fullRef>
                    <c15:sqref>'2-Section de Fonctionnement'!$B$48:$M$48</c15:sqref>
                  </c15:fullRef>
                </c:ext>
              </c:extLst>
              <c:f>('2-Section de Fonctionnement'!$C$48:$F$48,'2-Section de Fonctionnement'!$H$48:$M$48)</c:f>
              <c:numCache>
                <c:formatCode>#,##0</c:formatCode>
                <c:ptCount val="10"/>
                <c:pt idx="0">
                  <c:v>0</c:v>
                </c:pt>
                <c:pt idx="1">
                  <c:v>0</c:v>
                </c:pt>
                <c:pt idx="2">
                  <c:v>0</c:v>
                </c:pt>
                <c:pt idx="3">
                  <c:v>0</c:v>
                </c:pt>
                <c:pt idx="4">
                  <c:v>0</c:v>
                </c:pt>
                <c:pt idx="5">
                  <c:v>0</c:v>
                </c:pt>
                <c:pt idx="6">
                  <c:v>0</c:v>
                </c:pt>
                <c:pt idx="7">
                  <c:v>0</c:v>
                </c:pt>
                <c:pt idx="8">
                  <c:v>0</c:v>
                </c:pt>
                <c:pt idx="9">
                  <c:v>0</c:v>
                </c:pt>
              </c:numCache>
            </c:numRef>
          </c:val>
          <c:smooth val="0"/>
          <c:extLst>
            <c:ext xmlns:c16="http://schemas.microsoft.com/office/drawing/2014/chart" uri="{C3380CC4-5D6E-409C-BE32-E72D297353CC}">
              <c16:uniqueId val="{00000000-5D03-459C-8943-8C6DE1682D10}"/>
            </c:ext>
          </c:extLst>
        </c:ser>
        <c:ser>
          <c:idx val="1"/>
          <c:order val="1"/>
          <c:tx>
            <c:strRef>
              <c:f>'2-Section de Fonctionnement'!$A$53</c:f>
              <c:strCache>
                <c:ptCount val="1"/>
                <c:pt idx="0">
                  <c:v>Remboursement du capital de la dette</c:v>
                </c:pt>
              </c:strCache>
            </c:strRef>
          </c:tx>
          <c:spPr>
            <a:ln w="28575" cap="rnd">
              <a:solidFill>
                <a:schemeClr val="accent2"/>
              </a:solidFill>
              <a:round/>
            </a:ln>
            <a:effectLst/>
          </c:spPr>
          <c:marker>
            <c:symbol val="circle"/>
            <c:size val="5"/>
            <c:spPr>
              <a:solidFill>
                <a:schemeClr val="accent2"/>
              </a:solidFill>
              <a:ln w="9525">
                <a:solidFill>
                  <a:schemeClr val="accent2"/>
                </a:solidFill>
              </a:ln>
              <a:effectLst/>
            </c:spPr>
          </c:marker>
          <c:cat>
            <c:numRef>
              <c:extLst>
                <c:ext xmlns:c15="http://schemas.microsoft.com/office/drawing/2012/chart" uri="{02D57815-91ED-43cb-92C2-25804820EDAC}">
                  <c15:fullRef>
                    <c15:sqref>'2-Section de Fonctionnement'!$B$46:$M$46</c15:sqref>
                  </c15:fullRef>
                </c:ext>
              </c:extLst>
              <c:f>('2-Section de Fonctionnement'!$C$46:$F$46,'2-Section de Fonctionnement'!$H$46:$M$46)</c:f>
              <c:numCache>
                <c:formatCode>General</c:formatCode>
                <c:ptCount val="10"/>
                <c:pt idx="0">
                  <c:v>0</c:v>
                </c:pt>
                <c:pt idx="1">
                  <c:v>1</c:v>
                </c:pt>
                <c:pt idx="2">
                  <c:v>2</c:v>
                </c:pt>
                <c:pt idx="3">
                  <c:v>3</c:v>
                </c:pt>
                <c:pt idx="4">
                  <c:v>4</c:v>
                </c:pt>
                <c:pt idx="5">
                  <c:v>5</c:v>
                </c:pt>
                <c:pt idx="6">
                  <c:v>6</c:v>
                </c:pt>
                <c:pt idx="7">
                  <c:v>7</c:v>
                </c:pt>
                <c:pt idx="8">
                  <c:v>8</c:v>
                </c:pt>
                <c:pt idx="9">
                  <c:v>9</c:v>
                </c:pt>
              </c:numCache>
            </c:numRef>
          </c:cat>
          <c:val>
            <c:numRef>
              <c:extLst>
                <c:ext xmlns:c15="http://schemas.microsoft.com/office/drawing/2012/chart" uri="{02D57815-91ED-43cb-92C2-25804820EDAC}">
                  <c15:fullRef>
                    <c15:sqref>'2-Section de Fonctionnement'!$B$53:$M$53</c15:sqref>
                  </c15:fullRef>
                </c:ext>
              </c:extLst>
              <c:f>('2-Section de Fonctionnement'!$C$53:$F$53,'2-Section de Fonctionnement'!$H$53:$M$53)</c:f>
              <c:numCache>
                <c:formatCode>#,##0</c:formatCode>
                <c:ptCount val="10"/>
                <c:pt idx="0">
                  <c:v>0</c:v>
                </c:pt>
                <c:pt idx="1">
                  <c:v>0</c:v>
                </c:pt>
                <c:pt idx="2">
                  <c:v>0</c:v>
                </c:pt>
                <c:pt idx="3">
                  <c:v>0</c:v>
                </c:pt>
                <c:pt idx="4">
                  <c:v>0</c:v>
                </c:pt>
                <c:pt idx="5">
                  <c:v>0</c:v>
                </c:pt>
                <c:pt idx="6">
                  <c:v>0</c:v>
                </c:pt>
                <c:pt idx="7">
                  <c:v>0</c:v>
                </c:pt>
                <c:pt idx="8">
                  <c:v>0</c:v>
                </c:pt>
                <c:pt idx="9">
                  <c:v>0</c:v>
                </c:pt>
              </c:numCache>
            </c:numRef>
          </c:val>
          <c:smooth val="0"/>
          <c:extLst>
            <c:ext xmlns:c16="http://schemas.microsoft.com/office/drawing/2014/chart" uri="{C3380CC4-5D6E-409C-BE32-E72D297353CC}">
              <c16:uniqueId val="{00000001-5D03-459C-8943-8C6DE1682D10}"/>
            </c:ext>
          </c:extLst>
        </c:ser>
        <c:dLbls>
          <c:showLegendKey val="0"/>
          <c:showVal val="0"/>
          <c:showCatName val="0"/>
          <c:showSerName val="0"/>
          <c:showPercent val="0"/>
          <c:showBubbleSize val="0"/>
        </c:dLbls>
        <c:marker val="1"/>
        <c:smooth val="0"/>
        <c:axId val="449552976"/>
        <c:axId val="449556816"/>
      </c:lineChart>
      <c:catAx>
        <c:axId val="44955297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1380000" spcFirstLastPara="1" vertOverflow="ellipsis" wrap="square" anchor="ctr" anchorCtr="1"/>
          <a:lstStyle/>
          <a:p>
            <a:pPr>
              <a:defRPr sz="800" b="0" i="0" u="none" strike="noStrike" kern="1200" baseline="0">
                <a:solidFill>
                  <a:schemeClr val="tx1">
                    <a:lumMod val="95000"/>
                    <a:lumOff val="5000"/>
                  </a:schemeClr>
                </a:solidFill>
                <a:latin typeface="Ebrima" panose="02000000000000000000" pitchFamily="2" charset="0"/>
                <a:ea typeface="Ebrima" panose="02000000000000000000" pitchFamily="2" charset="0"/>
                <a:cs typeface="Ebrima" panose="02000000000000000000" pitchFamily="2" charset="0"/>
              </a:defRPr>
            </a:pPr>
            <a:endParaRPr lang="fr-FR"/>
          </a:p>
        </c:txPr>
        <c:crossAx val="449556816"/>
        <c:crosses val="autoZero"/>
        <c:auto val="1"/>
        <c:lblAlgn val="ctr"/>
        <c:lblOffset val="100"/>
        <c:noMultiLvlLbl val="0"/>
      </c:catAx>
      <c:valAx>
        <c:axId val="449556816"/>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800" b="0" i="0" u="none" strike="noStrike" kern="1200" baseline="0">
                <a:solidFill>
                  <a:schemeClr val="tx1">
                    <a:lumMod val="95000"/>
                    <a:lumOff val="5000"/>
                  </a:schemeClr>
                </a:solidFill>
                <a:latin typeface="Ebrima" panose="02000000000000000000" pitchFamily="2" charset="0"/>
                <a:ea typeface="Ebrima" panose="02000000000000000000" pitchFamily="2" charset="0"/>
                <a:cs typeface="Ebrima" panose="02000000000000000000" pitchFamily="2" charset="0"/>
              </a:defRPr>
            </a:pPr>
            <a:endParaRPr lang="fr-FR"/>
          </a:p>
        </c:txPr>
        <c:crossAx val="449552976"/>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800" b="0" i="0" u="none" strike="noStrike" kern="1200" baseline="0">
              <a:solidFill>
                <a:schemeClr val="tx1">
                  <a:lumMod val="95000"/>
                  <a:lumOff val="5000"/>
                </a:schemeClr>
              </a:solidFill>
              <a:latin typeface="Ebrima" panose="02000000000000000000" pitchFamily="2" charset="0"/>
              <a:ea typeface="Ebrima" panose="02000000000000000000" pitchFamily="2" charset="0"/>
              <a:cs typeface="Ebrima" panose="02000000000000000000" pitchFamily="2" charset="0"/>
            </a:defRPr>
          </a:pPr>
          <a:endParaRPr lang="fr-FR"/>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sz="800">
          <a:solidFill>
            <a:schemeClr val="tx1">
              <a:lumMod val="95000"/>
              <a:lumOff val="5000"/>
            </a:schemeClr>
          </a:solidFill>
          <a:latin typeface="Ebrima" panose="02000000000000000000" pitchFamily="2" charset="0"/>
          <a:ea typeface="Ebrima" panose="02000000000000000000" pitchFamily="2" charset="0"/>
          <a:cs typeface="Ebrima" panose="02000000000000000000" pitchFamily="2" charset="0"/>
        </a:defRPr>
      </a:pPr>
      <a:endParaRPr lang="fr-FR"/>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33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0.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1.xml><?xml version="1.0" encoding="utf-8"?>
<cs:chartStyle xmlns:cs="http://schemas.microsoft.com/office/drawing/2012/chartStyle" xmlns:a="http://schemas.openxmlformats.org/drawingml/2006/main" id="27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ln w="9525" cap="flat" cmpd="sng" algn="ctr">
        <a:solidFill>
          <a:schemeClr val="tx1">
            <a:lumMod val="15000"/>
            <a:lumOff val="85000"/>
          </a:schemeClr>
        </a:solidFill>
        <a:round/>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2.xml><?xml version="1.0" encoding="utf-8"?>
<cs:chartStyle xmlns:cs="http://schemas.microsoft.com/office/drawing/2012/chartStyle" xmlns:a="http://schemas.openxmlformats.org/drawingml/2006/main" id="27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ln w="9525" cap="flat" cmpd="sng" algn="ctr">
        <a:solidFill>
          <a:schemeClr val="tx1">
            <a:lumMod val="15000"/>
            <a:lumOff val="85000"/>
          </a:schemeClr>
        </a:solidFill>
        <a:round/>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4.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5.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6.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7.xml><?xml version="1.0" encoding="utf-8"?>
<cs:chartStyle xmlns:cs="http://schemas.microsoft.com/office/drawing/2012/chartStyle" xmlns:a="http://schemas.openxmlformats.org/drawingml/2006/main" id="33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8.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7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ln w="9525" cap="flat" cmpd="sng" algn="ctr">
        <a:solidFill>
          <a:schemeClr val="tx1">
            <a:lumMod val="15000"/>
            <a:lumOff val="85000"/>
          </a:schemeClr>
        </a:solidFill>
        <a:round/>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7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ln w="9525" cap="flat" cmpd="sng" algn="ctr">
        <a:solidFill>
          <a:schemeClr val="tx1">
            <a:lumMod val="15000"/>
            <a:lumOff val="85000"/>
          </a:schemeClr>
        </a:solidFill>
        <a:round/>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7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ln w="9525" cap="flat" cmpd="sng" algn="ctr">
        <a:solidFill>
          <a:schemeClr val="tx1">
            <a:lumMod val="15000"/>
            <a:lumOff val="85000"/>
          </a:schemeClr>
        </a:solidFill>
        <a:round/>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7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ln w="9525" cap="flat" cmpd="sng" algn="ctr">
        <a:solidFill>
          <a:schemeClr val="tx1">
            <a:lumMod val="15000"/>
            <a:lumOff val="85000"/>
          </a:schemeClr>
        </a:solidFill>
        <a:round/>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33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8.xml><?xml version="1.0" encoding="utf-8"?>
<cs:chartStyle xmlns:cs="http://schemas.microsoft.com/office/drawing/2012/chartStyle" xmlns:a="http://schemas.openxmlformats.org/drawingml/2006/main" id="33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9.xml><?xml version="1.0" encoding="utf-8"?>
<cs:chartStyle xmlns:cs="http://schemas.microsoft.com/office/drawing/2012/chartStyle" xmlns:a="http://schemas.openxmlformats.org/drawingml/2006/main" id="33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2" Type="http://schemas.openxmlformats.org/officeDocument/2006/relationships/hyperlink" Target="https://elanrural.fr/index.php/2025/03/16/outil-simple-et-efficace-danalyse-financiere-des-collectivites/" TargetMode="External"/><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3.png"/></Relationships>
</file>

<file path=xl/drawings/_rels/drawing6.xml.rels><?xml version="1.0" encoding="UTF-8" standalone="yes"?>
<Relationships xmlns="http://schemas.openxmlformats.org/package/2006/relationships"><Relationship Id="rId8" Type="http://schemas.openxmlformats.org/officeDocument/2006/relationships/chart" Target="../charts/chart8.xml"/><Relationship Id="rId3" Type="http://schemas.openxmlformats.org/officeDocument/2006/relationships/chart" Target="../charts/chart3.xml"/><Relationship Id="rId7" Type="http://schemas.openxmlformats.org/officeDocument/2006/relationships/chart" Target="../charts/chart7.xml"/><Relationship Id="rId2" Type="http://schemas.openxmlformats.org/officeDocument/2006/relationships/chart" Target="../charts/chart2.xml"/><Relationship Id="rId1" Type="http://schemas.openxmlformats.org/officeDocument/2006/relationships/chart" Target="../charts/chart1.xml"/><Relationship Id="rId6" Type="http://schemas.openxmlformats.org/officeDocument/2006/relationships/chart" Target="../charts/chart6.xml"/><Relationship Id="rId5" Type="http://schemas.openxmlformats.org/officeDocument/2006/relationships/chart" Target="../charts/chart5.xml"/><Relationship Id="rId4" Type="http://schemas.openxmlformats.org/officeDocument/2006/relationships/chart" Target="../charts/chart4.xml"/><Relationship Id="rId9" Type="http://schemas.openxmlformats.org/officeDocument/2006/relationships/image" Target="../media/image4.png"/></Relationships>
</file>

<file path=xl/drawings/_rels/drawing7.xml.rels><?xml version="1.0" encoding="UTF-8" standalone="yes"?>
<Relationships xmlns="http://schemas.openxmlformats.org/package/2006/relationships"><Relationship Id="rId8" Type="http://schemas.openxmlformats.org/officeDocument/2006/relationships/chart" Target="../charts/chart16.xml"/><Relationship Id="rId3" Type="http://schemas.openxmlformats.org/officeDocument/2006/relationships/chart" Target="../charts/chart11.xml"/><Relationship Id="rId7" Type="http://schemas.openxmlformats.org/officeDocument/2006/relationships/chart" Target="../charts/chart15.xml"/><Relationship Id="rId2" Type="http://schemas.openxmlformats.org/officeDocument/2006/relationships/chart" Target="../charts/chart10.xml"/><Relationship Id="rId1" Type="http://schemas.openxmlformats.org/officeDocument/2006/relationships/chart" Target="../charts/chart9.xml"/><Relationship Id="rId6" Type="http://schemas.openxmlformats.org/officeDocument/2006/relationships/chart" Target="../charts/chart14.xml"/><Relationship Id="rId11" Type="http://schemas.openxmlformats.org/officeDocument/2006/relationships/image" Target="../media/image4.png"/><Relationship Id="rId5" Type="http://schemas.openxmlformats.org/officeDocument/2006/relationships/chart" Target="../charts/chart13.xml"/><Relationship Id="rId10" Type="http://schemas.openxmlformats.org/officeDocument/2006/relationships/chart" Target="../charts/chart18.xml"/><Relationship Id="rId4" Type="http://schemas.openxmlformats.org/officeDocument/2006/relationships/chart" Target="../charts/chart12.xml"/><Relationship Id="rId9" Type="http://schemas.openxmlformats.org/officeDocument/2006/relationships/chart" Target="../charts/chart17.xml"/></Relationships>
</file>

<file path=xl/drawings/_rels/drawing8.xml.rels><?xml version="1.0" encoding="UTF-8" standalone="yes"?>
<Relationships xmlns="http://schemas.openxmlformats.org/package/2006/relationships"><Relationship Id="rId1" Type="http://schemas.openxmlformats.org/officeDocument/2006/relationships/image" Target="../media/image5.png"/></Relationships>
</file>

<file path=xl/drawings/drawing1.xml><?xml version="1.0" encoding="utf-8"?>
<xdr:wsDr xmlns:xdr="http://schemas.openxmlformats.org/drawingml/2006/spreadsheetDrawing" xmlns:a="http://schemas.openxmlformats.org/drawingml/2006/main">
  <xdr:twoCellAnchor editAs="oneCell">
    <xdr:from>
      <xdr:col>1</xdr:col>
      <xdr:colOff>50803</xdr:colOff>
      <xdr:row>0</xdr:row>
      <xdr:rowOff>0</xdr:rowOff>
    </xdr:from>
    <xdr:to>
      <xdr:col>1</xdr:col>
      <xdr:colOff>1119189</xdr:colOff>
      <xdr:row>4</xdr:row>
      <xdr:rowOff>276405</xdr:rowOff>
    </xdr:to>
    <xdr:pic>
      <xdr:nvPicPr>
        <xdr:cNvPr id="4" name="Image 3">
          <a:extLst>
            <a:ext uri="{FF2B5EF4-FFF2-40B4-BE49-F238E27FC236}">
              <a16:creationId xmlns:a16="http://schemas.microsoft.com/office/drawing/2014/main" id="{1F7C1818-624E-5D92-2FE2-0B283241633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36553" y="0"/>
          <a:ext cx="1068386" cy="106706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1</xdr:col>
      <xdr:colOff>1114779</xdr:colOff>
      <xdr:row>0</xdr:row>
      <xdr:rowOff>197556</xdr:rowOff>
    </xdr:from>
    <xdr:ext cx="5750278" cy="959555"/>
    <xdr:sp macro="" textlink="">
      <xdr:nvSpPr>
        <xdr:cNvPr id="2" name="ZoneTexte 1">
          <a:hlinkClick xmlns:r="http://schemas.openxmlformats.org/officeDocument/2006/relationships" r:id="rId2"/>
          <a:extLst>
            <a:ext uri="{FF2B5EF4-FFF2-40B4-BE49-F238E27FC236}">
              <a16:creationId xmlns:a16="http://schemas.microsoft.com/office/drawing/2014/main" id="{C4AE02FC-7C86-35CA-F5B5-5DFA5DB198EC}"/>
            </a:ext>
          </a:extLst>
        </xdr:cNvPr>
        <xdr:cNvSpPr txBox="1"/>
      </xdr:nvSpPr>
      <xdr:spPr>
        <a:xfrm>
          <a:off x="1411112" y="197556"/>
          <a:ext cx="5750278" cy="9595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noAutofit/>
        </a:bodyPr>
        <a:lstStyle/>
        <a:p>
          <a:pPr>
            <a:spcAft>
              <a:spcPts val="400"/>
            </a:spcAft>
          </a:pPr>
          <a:r>
            <a:rPr lang="fr-FR" sz="800">
              <a:solidFill>
                <a:schemeClr val="dk1">
                  <a:alpha val="99000"/>
                </a:schemeClr>
              </a:solidFill>
              <a:latin typeface="Ebrima" panose="02000000000000000000" pitchFamily="2" charset="0"/>
              <a:ea typeface="Ebrima" panose="02000000000000000000" pitchFamily="2" charset="0"/>
              <a:cs typeface="Ebrima" panose="02000000000000000000" pitchFamily="2" charset="0"/>
            </a:rPr>
            <a:t>Outil proposé gratuitement pour accompagner les gestionnaires de petites et moyennent collectivités à réaliser des analyses et projections financières sans être expert dans ce domaine.</a:t>
          </a:r>
        </a:p>
        <a:p>
          <a:r>
            <a:rPr lang="fr-FR" sz="800">
              <a:solidFill>
                <a:schemeClr val="dk1">
                  <a:alpha val="99000"/>
                </a:schemeClr>
              </a:solidFill>
              <a:latin typeface="Ebrima" panose="02000000000000000000" pitchFamily="2" charset="0"/>
              <a:ea typeface="Ebrima" panose="02000000000000000000" pitchFamily="2" charset="0"/>
              <a:cs typeface="Ebrima" panose="02000000000000000000" pitchFamily="2" charset="0"/>
            </a:rPr>
            <a:t>💡Il est recommandé de consulter le guide d'utilisation ainsi que la rubrique d’ElanRural.fr consacrée à l’apprentissage de la méthode d’analyse financière des petites collectivités =&gt; [Cliquez-ici</a:t>
          </a:r>
          <a:r>
            <a:rPr lang="fr-FR" sz="800">
              <a:solidFill>
                <a:schemeClr val="dk1">
                  <a:alpha val="99000"/>
                </a:schemeClr>
              </a:solidFill>
            </a:rPr>
            <a:t>]</a:t>
          </a:r>
        </a:p>
        <a:p>
          <a:r>
            <a:rPr lang="fr-FR" sz="800">
              <a:solidFill>
                <a:schemeClr val="dk1">
                  <a:alpha val="99000"/>
                </a:schemeClr>
              </a:solidFill>
            </a:rPr>
            <a:t> Le fichier est dans sa première version. Nous sommes à l’écoute de toute proposition de modification : N’hésitez pas à transmettre un email à contact@elanrural.fr pour toute suggestion de modification ou signalement d’un bug.</a:t>
          </a:r>
        </a:p>
        <a:p>
          <a:endParaRPr lang="fr-FR" sz="1100"/>
        </a:p>
      </xdr:txBody>
    </xdr:sp>
    <xdr:clientData/>
  </xdr:oneCellAnchor>
</xdr:wsDr>
</file>

<file path=xl/drawings/drawing2.xml><?xml version="1.0" encoding="utf-8"?>
<xdr:wsDr xmlns:xdr="http://schemas.openxmlformats.org/drawingml/2006/spreadsheetDrawing" xmlns:a="http://schemas.openxmlformats.org/drawingml/2006/main">
  <xdr:twoCellAnchor editAs="oneCell">
    <xdr:from>
      <xdr:col>14</xdr:col>
      <xdr:colOff>238128</xdr:colOff>
      <xdr:row>1</xdr:row>
      <xdr:rowOff>119062</xdr:rowOff>
    </xdr:from>
    <xdr:to>
      <xdr:col>16</xdr:col>
      <xdr:colOff>631032</xdr:colOff>
      <xdr:row>8</xdr:row>
      <xdr:rowOff>92868</xdr:rowOff>
    </xdr:to>
    <xdr:pic>
      <xdr:nvPicPr>
        <xdr:cNvPr id="2" name="Image 1">
          <a:extLst>
            <a:ext uri="{FF2B5EF4-FFF2-40B4-BE49-F238E27FC236}">
              <a16:creationId xmlns:a16="http://schemas.microsoft.com/office/drawing/2014/main" id="{CA805157-7BDC-4776-A58C-F9A0B3A38834}"/>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644566" y="381000"/>
          <a:ext cx="1250154" cy="124459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11</xdr:col>
      <xdr:colOff>749300</xdr:colOff>
      <xdr:row>3</xdr:row>
      <xdr:rowOff>61913</xdr:rowOff>
    </xdr:from>
    <xdr:to>
      <xdr:col>13</xdr:col>
      <xdr:colOff>450848</xdr:colOff>
      <xdr:row>9</xdr:row>
      <xdr:rowOff>66674</xdr:rowOff>
    </xdr:to>
    <xdr:pic>
      <xdr:nvPicPr>
        <xdr:cNvPr id="2" name="Image 1">
          <a:extLst>
            <a:ext uri="{FF2B5EF4-FFF2-40B4-BE49-F238E27FC236}">
              <a16:creationId xmlns:a16="http://schemas.microsoft.com/office/drawing/2014/main" id="{98C10488-AFB7-491C-92F4-D898A555E6B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0726738" y="871538"/>
          <a:ext cx="1260473" cy="123983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9</xdr:col>
      <xdr:colOff>690564</xdr:colOff>
      <xdr:row>2</xdr:row>
      <xdr:rowOff>47624</xdr:rowOff>
    </xdr:from>
    <xdr:to>
      <xdr:col>11</xdr:col>
      <xdr:colOff>402430</xdr:colOff>
      <xdr:row>8</xdr:row>
      <xdr:rowOff>74611</xdr:rowOff>
    </xdr:to>
    <xdr:pic>
      <xdr:nvPicPr>
        <xdr:cNvPr id="2" name="Image 1">
          <a:extLst>
            <a:ext uri="{FF2B5EF4-FFF2-40B4-BE49-F238E27FC236}">
              <a16:creationId xmlns:a16="http://schemas.microsoft.com/office/drawing/2014/main" id="{EF26A677-F4D6-4D53-9ADD-C9E2DE16F44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0263189" y="500062"/>
          <a:ext cx="1259679" cy="123824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100853</xdr:rowOff>
    </xdr:from>
    <xdr:to>
      <xdr:col>0</xdr:col>
      <xdr:colOff>963957</xdr:colOff>
      <xdr:row>4</xdr:row>
      <xdr:rowOff>100853</xdr:rowOff>
    </xdr:to>
    <xdr:pic>
      <xdr:nvPicPr>
        <xdr:cNvPr id="2" name="Image 1">
          <a:extLst>
            <a:ext uri="{FF2B5EF4-FFF2-40B4-BE49-F238E27FC236}">
              <a16:creationId xmlns:a16="http://schemas.microsoft.com/office/drawing/2014/main" id="{A595CAE3-D888-4668-B5BD-E8BB9FCA5097}"/>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100853"/>
          <a:ext cx="963957" cy="93008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6.xml><?xml version="1.0" encoding="utf-8"?>
<xdr:wsDr xmlns:xdr="http://schemas.openxmlformats.org/drawingml/2006/spreadsheetDrawing" xmlns:a="http://schemas.openxmlformats.org/drawingml/2006/main">
  <xdr:twoCellAnchor>
    <xdr:from>
      <xdr:col>2</xdr:col>
      <xdr:colOff>63501</xdr:colOff>
      <xdr:row>16</xdr:row>
      <xdr:rowOff>11205</xdr:rowOff>
    </xdr:from>
    <xdr:to>
      <xdr:col>3</xdr:col>
      <xdr:colOff>1809751</xdr:colOff>
      <xdr:row>17</xdr:row>
      <xdr:rowOff>1865</xdr:rowOff>
    </xdr:to>
    <xdr:graphicFrame macro="">
      <xdr:nvGraphicFramePr>
        <xdr:cNvPr id="2" name="Graphique 1">
          <a:extLst>
            <a:ext uri="{FF2B5EF4-FFF2-40B4-BE49-F238E27FC236}">
              <a16:creationId xmlns:a16="http://schemas.microsoft.com/office/drawing/2014/main" id="{7006693A-5952-4810-B36C-DEA26935787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31750</xdr:colOff>
      <xdr:row>27</xdr:row>
      <xdr:rowOff>31750</xdr:rowOff>
    </xdr:from>
    <xdr:to>
      <xdr:col>2</xdr:col>
      <xdr:colOff>190500</xdr:colOff>
      <xdr:row>27</xdr:row>
      <xdr:rowOff>1979084</xdr:rowOff>
    </xdr:to>
    <xdr:graphicFrame macro="">
      <xdr:nvGraphicFramePr>
        <xdr:cNvPr id="3" name="Graphique 2">
          <a:extLst>
            <a:ext uri="{FF2B5EF4-FFF2-40B4-BE49-F238E27FC236}">
              <a16:creationId xmlns:a16="http://schemas.microsoft.com/office/drawing/2014/main" id="{12938B0E-0AAC-4C1C-BAD8-F29B8B3FEF5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2</xdr:col>
      <xdr:colOff>243417</xdr:colOff>
      <xdr:row>27</xdr:row>
      <xdr:rowOff>31751</xdr:rowOff>
    </xdr:from>
    <xdr:to>
      <xdr:col>3</xdr:col>
      <xdr:colOff>1778001</xdr:colOff>
      <xdr:row>27</xdr:row>
      <xdr:rowOff>1961031</xdr:rowOff>
    </xdr:to>
    <xdr:graphicFrame macro="">
      <xdr:nvGraphicFramePr>
        <xdr:cNvPr id="4" name="Graphique 3">
          <a:extLst>
            <a:ext uri="{FF2B5EF4-FFF2-40B4-BE49-F238E27FC236}">
              <a16:creationId xmlns:a16="http://schemas.microsoft.com/office/drawing/2014/main" id="{097A48E3-4421-431A-A22B-E7A5FF4C611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0</xdr:col>
      <xdr:colOff>44824</xdr:colOff>
      <xdr:row>16</xdr:row>
      <xdr:rowOff>21165</xdr:rowOff>
    </xdr:from>
    <xdr:to>
      <xdr:col>2</xdr:col>
      <xdr:colOff>21165</xdr:colOff>
      <xdr:row>16</xdr:row>
      <xdr:rowOff>2229970</xdr:rowOff>
    </xdr:to>
    <xdr:graphicFrame macro="">
      <xdr:nvGraphicFramePr>
        <xdr:cNvPr id="9" name="Graphique 8">
          <a:extLst>
            <a:ext uri="{FF2B5EF4-FFF2-40B4-BE49-F238E27FC236}">
              <a16:creationId xmlns:a16="http://schemas.microsoft.com/office/drawing/2014/main" id="{47408EA0-7E2B-4E2F-9DD5-47AD82CF0DD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0</xdr:col>
      <xdr:colOff>0</xdr:colOff>
      <xdr:row>52</xdr:row>
      <xdr:rowOff>0</xdr:rowOff>
    </xdr:from>
    <xdr:to>
      <xdr:col>2</xdr:col>
      <xdr:colOff>211666</xdr:colOff>
      <xdr:row>52</xdr:row>
      <xdr:rowOff>1947333</xdr:rowOff>
    </xdr:to>
    <xdr:graphicFrame macro="">
      <xdr:nvGraphicFramePr>
        <xdr:cNvPr id="12" name="Graphique 11">
          <a:extLst>
            <a:ext uri="{FF2B5EF4-FFF2-40B4-BE49-F238E27FC236}">
              <a16:creationId xmlns:a16="http://schemas.microsoft.com/office/drawing/2014/main" id="{287758D9-9C81-4187-9AC9-7F8F7E99DB8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2</xdr:col>
      <xdr:colOff>232833</xdr:colOff>
      <xdr:row>52</xdr:row>
      <xdr:rowOff>0</xdr:rowOff>
    </xdr:from>
    <xdr:to>
      <xdr:col>3</xdr:col>
      <xdr:colOff>1809749</xdr:colOff>
      <xdr:row>52</xdr:row>
      <xdr:rowOff>1957917</xdr:rowOff>
    </xdr:to>
    <xdr:graphicFrame macro="">
      <xdr:nvGraphicFramePr>
        <xdr:cNvPr id="13" name="Graphique 12">
          <a:extLst>
            <a:ext uri="{FF2B5EF4-FFF2-40B4-BE49-F238E27FC236}">
              <a16:creationId xmlns:a16="http://schemas.microsoft.com/office/drawing/2014/main" id="{18B7AB1A-80DB-444C-B76B-34CB155FC1F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0</xdr:col>
      <xdr:colOff>56028</xdr:colOff>
      <xdr:row>43</xdr:row>
      <xdr:rowOff>11206</xdr:rowOff>
    </xdr:from>
    <xdr:to>
      <xdr:col>2</xdr:col>
      <xdr:colOff>338665</xdr:colOff>
      <xdr:row>44</xdr:row>
      <xdr:rowOff>11207</xdr:rowOff>
    </xdr:to>
    <xdr:graphicFrame macro="">
      <xdr:nvGraphicFramePr>
        <xdr:cNvPr id="5" name="Graphique 4">
          <a:extLst>
            <a:ext uri="{FF2B5EF4-FFF2-40B4-BE49-F238E27FC236}">
              <a16:creationId xmlns:a16="http://schemas.microsoft.com/office/drawing/2014/main" id="{87F4195F-6780-4C64-A3B5-46018A4D249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xdr:col>
      <xdr:colOff>370415</xdr:colOff>
      <xdr:row>43</xdr:row>
      <xdr:rowOff>11206</xdr:rowOff>
    </xdr:from>
    <xdr:to>
      <xdr:col>3</xdr:col>
      <xdr:colOff>1799166</xdr:colOff>
      <xdr:row>43</xdr:row>
      <xdr:rowOff>2330823</xdr:rowOff>
    </xdr:to>
    <xdr:graphicFrame macro="">
      <xdr:nvGraphicFramePr>
        <xdr:cNvPr id="6" name="Graphique 5">
          <a:extLst>
            <a:ext uri="{FF2B5EF4-FFF2-40B4-BE49-F238E27FC236}">
              <a16:creationId xmlns:a16="http://schemas.microsoft.com/office/drawing/2014/main" id="{6B85CB79-1381-4CC6-9618-34206253DF0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editAs="oneCell">
    <xdr:from>
      <xdr:col>3</xdr:col>
      <xdr:colOff>1187824</xdr:colOff>
      <xdr:row>0</xdr:row>
      <xdr:rowOff>134471</xdr:rowOff>
    </xdr:from>
    <xdr:to>
      <xdr:col>4</xdr:col>
      <xdr:colOff>56029</xdr:colOff>
      <xdr:row>7</xdr:row>
      <xdr:rowOff>69678</xdr:rowOff>
    </xdr:to>
    <xdr:pic>
      <xdr:nvPicPr>
        <xdr:cNvPr id="7" name="Image 6">
          <a:extLst>
            <a:ext uri="{FF2B5EF4-FFF2-40B4-BE49-F238E27FC236}">
              <a16:creationId xmlns:a16="http://schemas.microsoft.com/office/drawing/2014/main" id="{11FB4443-7B4F-4A63-B911-C9CE9EF1556B}"/>
            </a:ext>
          </a:extLst>
        </xdr:cNvPr>
        <xdr:cNvPicPr>
          <a:picLocks noChangeAspect="1" noChangeArrowheads="1"/>
        </xdr:cNvPicPr>
      </xdr:nvPicPr>
      <xdr:blipFill>
        <a:blip xmlns:r="http://schemas.openxmlformats.org/officeDocument/2006/relationships" r:embed="rId9" cstate="print">
          <a:extLst>
            <a:ext uri="{28A0092B-C50C-407E-A947-70E740481C1C}">
              <a14:useLocalDpi xmlns:a14="http://schemas.microsoft.com/office/drawing/2010/main" val="0"/>
            </a:ext>
          </a:extLst>
        </a:blip>
        <a:srcRect/>
        <a:stretch>
          <a:fillRect/>
        </a:stretch>
      </xdr:blipFill>
      <xdr:spPr bwMode="auto">
        <a:xfrm>
          <a:off x="5905500" y="134471"/>
          <a:ext cx="705970" cy="68600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63498</xdr:colOff>
      <xdr:row>2</xdr:row>
      <xdr:rowOff>0</xdr:rowOff>
    </xdr:from>
    <xdr:to>
      <xdr:col>4</xdr:col>
      <xdr:colOff>723899</xdr:colOff>
      <xdr:row>15</xdr:row>
      <xdr:rowOff>9525</xdr:rowOff>
    </xdr:to>
    <xdr:graphicFrame macro="">
      <xdr:nvGraphicFramePr>
        <xdr:cNvPr id="2" name="Graphique 1">
          <a:extLst>
            <a:ext uri="{FF2B5EF4-FFF2-40B4-BE49-F238E27FC236}">
              <a16:creationId xmlns:a16="http://schemas.microsoft.com/office/drawing/2014/main" id="{730C4C75-B8E4-42D8-8B3C-A3D7634545D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66674</xdr:colOff>
      <xdr:row>15</xdr:row>
      <xdr:rowOff>47624</xdr:rowOff>
    </xdr:from>
    <xdr:to>
      <xdr:col>4</xdr:col>
      <xdr:colOff>723900</xdr:colOff>
      <xdr:row>25</xdr:row>
      <xdr:rowOff>152399</xdr:rowOff>
    </xdr:to>
    <xdr:graphicFrame macro="">
      <xdr:nvGraphicFramePr>
        <xdr:cNvPr id="4" name="Graphique 3">
          <a:extLst>
            <a:ext uri="{FF2B5EF4-FFF2-40B4-BE49-F238E27FC236}">
              <a16:creationId xmlns:a16="http://schemas.microsoft.com/office/drawing/2014/main" id="{B9E3F151-FE33-491E-B3D5-F3E33E66ECF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5</xdr:col>
      <xdr:colOff>38101</xdr:colOff>
      <xdr:row>26</xdr:row>
      <xdr:rowOff>9525</xdr:rowOff>
    </xdr:from>
    <xdr:to>
      <xdr:col>9</xdr:col>
      <xdr:colOff>723901</xdr:colOff>
      <xdr:row>36</xdr:row>
      <xdr:rowOff>152400</xdr:rowOff>
    </xdr:to>
    <xdr:graphicFrame macro="">
      <xdr:nvGraphicFramePr>
        <xdr:cNvPr id="5" name="Graphique 4">
          <a:extLst>
            <a:ext uri="{FF2B5EF4-FFF2-40B4-BE49-F238E27FC236}">
              <a16:creationId xmlns:a16="http://schemas.microsoft.com/office/drawing/2014/main" id="{7247B1F4-823B-45AE-85F3-7B3E6234B5E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5</xdr:col>
      <xdr:colOff>19049</xdr:colOff>
      <xdr:row>37</xdr:row>
      <xdr:rowOff>19050</xdr:rowOff>
    </xdr:from>
    <xdr:to>
      <xdr:col>9</xdr:col>
      <xdr:colOff>752474</xdr:colOff>
      <xdr:row>47</xdr:row>
      <xdr:rowOff>142875</xdr:rowOff>
    </xdr:to>
    <xdr:graphicFrame macro="">
      <xdr:nvGraphicFramePr>
        <xdr:cNvPr id="6" name="Graphique 5">
          <a:extLst>
            <a:ext uri="{FF2B5EF4-FFF2-40B4-BE49-F238E27FC236}">
              <a16:creationId xmlns:a16="http://schemas.microsoft.com/office/drawing/2014/main" id="{287CE631-2EB0-43F3-B36C-DC9201714BF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0</xdr:col>
      <xdr:colOff>79374</xdr:colOff>
      <xdr:row>26</xdr:row>
      <xdr:rowOff>9526</xdr:rowOff>
    </xdr:from>
    <xdr:to>
      <xdr:col>4</xdr:col>
      <xdr:colOff>723899</xdr:colOff>
      <xdr:row>36</xdr:row>
      <xdr:rowOff>152402</xdr:rowOff>
    </xdr:to>
    <xdr:graphicFrame macro="">
      <xdr:nvGraphicFramePr>
        <xdr:cNvPr id="8" name="Graphique 7">
          <a:extLst>
            <a:ext uri="{FF2B5EF4-FFF2-40B4-BE49-F238E27FC236}">
              <a16:creationId xmlns:a16="http://schemas.microsoft.com/office/drawing/2014/main" id="{C0831D61-98B6-4F63-9458-281D6402D3B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0</xdr:col>
      <xdr:colOff>38100</xdr:colOff>
      <xdr:row>52</xdr:row>
      <xdr:rowOff>114300</xdr:rowOff>
    </xdr:from>
    <xdr:to>
      <xdr:col>4</xdr:col>
      <xdr:colOff>714375</xdr:colOff>
      <xdr:row>73</xdr:row>
      <xdr:rowOff>47625</xdr:rowOff>
    </xdr:to>
    <xdr:graphicFrame macro="">
      <xdr:nvGraphicFramePr>
        <xdr:cNvPr id="10" name="Graphique 9">
          <a:extLst>
            <a:ext uri="{FF2B5EF4-FFF2-40B4-BE49-F238E27FC236}">
              <a16:creationId xmlns:a16="http://schemas.microsoft.com/office/drawing/2014/main" id="{F977DF5A-D81A-BEB5-87BD-4F314D16EC9E}"/>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5</xdr:col>
      <xdr:colOff>25400</xdr:colOff>
      <xdr:row>15</xdr:row>
      <xdr:rowOff>47625</xdr:rowOff>
    </xdr:from>
    <xdr:to>
      <xdr:col>9</xdr:col>
      <xdr:colOff>742950</xdr:colOff>
      <xdr:row>25</xdr:row>
      <xdr:rowOff>152400</xdr:rowOff>
    </xdr:to>
    <xdr:graphicFrame macro="">
      <xdr:nvGraphicFramePr>
        <xdr:cNvPr id="7" name="Graphique 6">
          <a:extLst>
            <a:ext uri="{FF2B5EF4-FFF2-40B4-BE49-F238E27FC236}">
              <a16:creationId xmlns:a16="http://schemas.microsoft.com/office/drawing/2014/main" id="{DD043BEA-022F-46F5-830A-7D8F506F976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5</xdr:col>
      <xdr:colOff>28576</xdr:colOff>
      <xdr:row>2</xdr:row>
      <xdr:rowOff>0</xdr:rowOff>
    </xdr:from>
    <xdr:to>
      <xdr:col>10</xdr:col>
      <xdr:colOff>0</xdr:colOff>
      <xdr:row>15</xdr:row>
      <xdr:rowOff>0</xdr:rowOff>
    </xdr:to>
    <xdr:graphicFrame macro="">
      <xdr:nvGraphicFramePr>
        <xdr:cNvPr id="9" name="Graphique 8">
          <a:extLst>
            <a:ext uri="{FF2B5EF4-FFF2-40B4-BE49-F238E27FC236}">
              <a16:creationId xmlns:a16="http://schemas.microsoft.com/office/drawing/2014/main" id="{9A8F373C-00F2-4E85-8C2E-AD468060DD6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0</xdr:col>
      <xdr:colOff>76200</xdr:colOff>
      <xdr:row>37</xdr:row>
      <xdr:rowOff>9525</xdr:rowOff>
    </xdr:from>
    <xdr:to>
      <xdr:col>4</xdr:col>
      <xdr:colOff>723900</xdr:colOff>
      <xdr:row>47</xdr:row>
      <xdr:rowOff>152400</xdr:rowOff>
    </xdr:to>
    <xdr:graphicFrame macro="">
      <xdr:nvGraphicFramePr>
        <xdr:cNvPr id="3" name="Graphique 2">
          <a:extLst>
            <a:ext uri="{FF2B5EF4-FFF2-40B4-BE49-F238E27FC236}">
              <a16:creationId xmlns:a16="http://schemas.microsoft.com/office/drawing/2014/main" id="{9434F218-C2F0-4F17-A564-3660971AAF2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5</xdr:col>
      <xdr:colOff>38099</xdr:colOff>
      <xdr:row>52</xdr:row>
      <xdr:rowOff>123825</xdr:rowOff>
    </xdr:from>
    <xdr:to>
      <xdr:col>9</xdr:col>
      <xdr:colOff>733424</xdr:colOff>
      <xdr:row>73</xdr:row>
      <xdr:rowOff>28575</xdr:rowOff>
    </xdr:to>
    <xdr:graphicFrame macro="">
      <xdr:nvGraphicFramePr>
        <xdr:cNvPr id="11" name="Graphique 10">
          <a:extLst>
            <a:ext uri="{FF2B5EF4-FFF2-40B4-BE49-F238E27FC236}">
              <a16:creationId xmlns:a16="http://schemas.microsoft.com/office/drawing/2014/main" id="{126F75D0-BFDA-0E0A-0818-95E98BCB7CE9}"/>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editAs="oneCell">
    <xdr:from>
      <xdr:col>9</xdr:col>
      <xdr:colOff>85725</xdr:colOff>
      <xdr:row>0</xdr:row>
      <xdr:rowOff>9525</xdr:rowOff>
    </xdr:from>
    <xdr:to>
      <xdr:col>10</xdr:col>
      <xdr:colOff>29695</xdr:colOff>
      <xdr:row>2</xdr:row>
      <xdr:rowOff>104976</xdr:rowOff>
    </xdr:to>
    <xdr:pic>
      <xdr:nvPicPr>
        <xdr:cNvPr id="12" name="Image 11">
          <a:extLst>
            <a:ext uri="{FF2B5EF4-FFF2-40B4-BE49-F238E27FC236}">
              <a16:creationId xmlns:a16="http://schemas.microsoft.com/office/drawing/2014/main" id="{1DEA52D3-FFC3-4406-9E1B-AE13E506916E}"/>
            </a:ext>
          </a:extLst>
        </xdr:cNvPr>
        <xdr:cNvPicPr>
          <a:picLocks noChangeAspect="1" noChangeArrowheads="1"/>
        </xdr:cNvPicPr>
      </xdr:nvPicPr>
      <xdr:blipFill>
        <a:blip xmlns:r="http://schemas.openxmlformats.org/officeDocument/2006/relationships" r:embed="rId11" cstate="print">
          <a:extLst>
            <a:ext uri="{28A0092B-C50C-407E-A947-70E740481C1C}">
              <a14:useLocalDpi xmlns:a14="http://schemas.microsoft.com/office/drawing/2010/main" val="0"/>
            </a:ext>
          </a:extLst>
        </a:blip>
        <a:srcRect/>
        <a:stretch>
          <a:fillRect/>
        </a:stretch>
      </xdr:blipFill>
      <xdr:spPr bwMode="auto">
        <a:xfrm>
          <a:off x="6943725" y="9525"/>
          <a:ext cx="705970" cy="68600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7</xdr:col>
      <xdr:colOff>644259</xdr:colOff>
      <xdr:row>0</xdr:row>
      <xdr:rowOff>0</xdr:rowOff>
    </xdr:from>
    <xdr:to>
      <xdr:col>21</xdr:col>
      <xdr:colOff>19037</xdr:colOff>
      <xdr:row>3</xdr:row>
      <xdr:rowOff>76199</xdr:rowOff>
    </xdr:to>
    <xdr:pic>
      <xdr:nvPicPr>
        <xdr:cNvPr id="2" name="Image 1">
          <a:extLst>
            <a:ext uri="{FF2B5EF4-FFF2-40B4-BE49-F238E27FC236}">
              <a16:creationId xmlns:a16="http://schemas.microsoft.com/office/drawing/2014/main" id="{B4A99DFB-C833-4846-AC9F-B6D9A74DFAF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2036159" y="0"/>
          <a:ext cx="679703" cy="66674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Thème Office 2013 –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ACEC65-FE7D-40A5-9F79-E7AEF29D0377}">
  <sheetPr codeName="Feuil1">
    <pageSetUpPr fitToPage="1"/>
  </sheetPr>
  <dimension ref="A1:F73"/>
  <sheetViews>
    <sheetView tabSelected="1" zoomScaleNormal="100" workbookViewId="0">
      <selection activeCell="C7" sqref="C7:D7"/>
    </sheetView>
  </sheetViews>
  <sheetFormatPr baseColWidth="10" defaultColWidth="11.54296875" defaultRowHeight="16" x14ac:dyDescent="0.45"/>
  <cols>
    <col min="1" max="1" width="4.26953125" style="30" customWidth="1"/>
    <col min="2" max="2" width="51.453125" style="30" customWidth="1"/>
    <col min="3" max="3" width="6.453125" style="30" customWidth="1"/>
    <col min="4" max="4" width="40.1796875" style="30" customWidth="1"/>
    <col min="5" max="5" width="0.54296875" style="30" customWidth="1"/>
    <col min="6" max="6" width="36.7265625" style="30" customWidth="1"/>
    <col min="7" max="7" width="11.54296875" style="30"/>
    <col min="8" max="8" width="11.453125" style="30" customWidth="1"/>
    <col min="9" max="16384" width="11.54296875" style="30"/>
  </cols>
  <sheetData>
    <row r="1" spans="2:6" ht="17.25" customHeight="1" x14ac:dyDescent="0.45">
      <c r="B1" s="484" t="s">
        <v>175</v>
      </c>
      <c r="C1" s="484"/>
      <c r="D1" s="484"/>
    </row>
    <row r="2" spans="2:6" ht="15" customHeight="1" x14ac:dyDescent="0.45">
      <c r="B2" s="372"/>
      <c r="C2" s="372"/>
      <c r="D2" s="372"/>
    </row>
    <row r="3" spans="2:6" ht="15" customHeight="1" x14ac:dyDescent="0.45">
      <c r="B3" s="372"/>
      <c r="C3" s="372"/>
      <c r="D3" s="372"/>
    </row>
    <row r="4" spans="2:6" ht="15" customHeight="1" x14ac:dyDescent="0.45">
      <c r="B4" s="372"/>
      <c r="C4" s="372"/>
      <c r="D4" s="372"/>
      <c r="F4" s="104"/>
    </row>
    <row r="5" spans="2:6" ht="28" customHeight="1" thickBot="1" x14ac:dyDescent="0.5">
      <c r="B5" s="373"/>
      <c r="C5" s="373"/>
      <c r="D5" s="373"/>
      <c r="F5" s="104"/>
    </row>
    <row r="6" spans="2:6" ht="17.5" thickBot="1" x14ac:dyDescent="0.55000000000000004">
      <c r="B6" s="495" t="s">
        <v>0</v>
      </c>
      <c r="C6" s="496"/>
      <c r="D6" s="497"/>
    </row>
    <row r="7" spans="2:6" x14ac:dyDescent="0.45">
      <c r="B7" s="423" t="s">
        <v>1</v>
      </c>
      <c r="C7" s="498"/>
      <c r="D7" s="499"/>
    </row>
    <row r="8" spans="2:6" ht="16.5" x14ac:dyDescent="0.45">
      <c r="B8" s="333" t="s">
        <v>2</v>
      </c>
      <c r="C8" s="500"/>
      <c r="D8" s="501"/>
      <c r="E8" s="33"/>
      <c r="F8" s="34" t="str">
        <f>"&gt;La rétrospective concernera les années " &amp; C8 &amp; " à " &amp; (C8 + 3) &amp;" la prospective de " &amp; (C8+4) &amp; " à " &amp; (C8+9)</f>
        <v>&gt;La rétrospective concernera les années  à 3 la prospective de 4 à 9</v>
      </c>
    </row>
    <row r="9" spans="2:6" ht="16.5" x14ac:dyDescent="0.45">
      <c r="B9" s="333" t="s">
        <v>93</v>
      </c>
      <c r="C9" s="506"/>
      <c r="D9" s="507"/>
      <c r="E9" s="33"/>
      <c r="F9" s="34" t="s">
        <v>94</v>
      </c>
    </row>
    <row r="10" spans="2:6" ht="16.5" x14ac:dyDescent="0.45">
      <c r="B10" s="334" t="s">
        <v>3</v>
      </c>
      <c r="C10" s="518"/>
      <c r="D10" s="519"/>
      <c r="E10" s="33"/>
      <c r="F10" s="34" t="s">
        <v>103</v>
      </c>
    </row>
    <row r="11" spans="2:6" x14ac:dyDescent="0.45">
      <c r="B11" s="333" t="s">
        <v>5</v>
      </c>
      <c r="C11" s="514"/>
      <c r="D11" s="515"/>
      <c r="E11" s="35"/>
      <c r="F11" s="34" t="s">
        <v>114</v>
      </c>
    </row>
    <row r="12" spans="2:6" x14ac:dyDescent="0.45">
      <c r="B12" s="334" t="s">
        <v>95</v>
      </c>
      <c r="C12" s="509"/>
      <c r="D12" s="510"/>
      <c r="E12" s="35"/>
      <c r="F12" s="148" t="s">
        <v>6</v>
      </c>
    </row>
    <row r="13" spans="2:6" x14ac:dyDescent="0.45">
      <c r="B13" s="335" t="str">
        <f>"Taux de FCTVA applicable au 01/01/" &amp; (C8+4)</f>
        <v>Taux de FCTVA applicable au 01/01/4</v>
      </c>
      <c r="C13" s="520"/>
      <c r="D13" s="521"/>
      <c r="E13" s="35"/>
      <c r="F13" s="148" t="s">
        <v>6</v>
      </c>
    </row>
    <row r="14" spans="2:6" x14ac:dyDescent="0.45">
      <c r="B14" s="335" t="s">
        <v>134</v>
      </c>
      <c r="C14" s="502"/>
      <c r="D14" s="503"/>
      <c r="E14" s="35"/>
      <c r="F14" s="148" t="s">
        <v>136</v>
      </c>
    </row>
    <row r="15" spans="2:6" ht="16.5" thickBot="1" x14ac:dyDescent="0.5">
      <c r="B15" s="336" t="str">
        <f>"Encours de dette au 01/01/" &amp;C8 &amp;" "&amp;C10</f>
        <v xml:space="preserve">Encours de dette au 01/01/ </v>
      </c>
      <c r="C15" s="516"/>
      <c r="D15" s="517"/>
    </row>
    <row r="17" spans="1:6" ht="16.5" thickBot="1" x14ac:dyDescent="0.5"/>
    <row r="18" spans="1:6" ht="20.5" customHeight="1" x14ac:dyDescent="0.5">
      <c r="B18" s="492" t="s">
        <v>7</v>
      </c>
      <c r="C18" s="493"/>
      <c r="D18" s="494"/>
    </row>
    <row r="19" spans="1:6" ht="23.5" customHeight="1" x14ac:dyDescent="0.45">
      <c r="B19" s="511" t="s">
        <v>8</v>
      </c>
      <c r="C19" s="512"/>
      <c r="D19" s="513"/>
    </row>
    <row r="20" spans="1:6" x14ac:dyDescent="0.45">
      <c r="B20" s="211" t="s">
        <v>112</v>
      </c>
      <c r="C20" s="170"/>
      <c r="D20" s="212" t="s">
        <v>113</v>
      </c>
    </row>
    <row r="21" spans="1:6" x14ac:dyDescent="0.45">
      <c r="A21" s="31"/>
      <c r="B21" s="438" t="s">
        <v>9</v>
      </c>
      <c r="C21" s="170"/>
      <c r="D21" s="166" t="s">
        <v>130</v>
      </c>
      <c r="F21" s="417" t="s">
        <v>128</v>
      </c>
    </row>
    <row r="22" spans="1:6" x14ac:dyDescent="0.45">
      <c r="A22" s="422"/>
      <c r="B22" s="438" t="s">
        <v>10</v>
      </c>
      <c r="C22" s="170"/>
      <c r="D22" s="166" t="s">
        <v>130</v>
      </c>
    </row>
    <row r="23" spans="1:6" x14ac:dyDescent="0.45">
      <c r="A23" s="422"/>
      <c r="B23" s="165" t="s">
        <v>130</v>
      </c>
      <c r="C23" s="170"/>
      <c r="D23" s="166" t="s">
        <v>130</v>
      </c>
    </row>
    <row r="24" spans="1:6" x14ac:dyDescent="0.45">
      <c r="A24" s="422"/>
      <c r="B24" s="165" t="s">
        <v>130</v>
      </c>
      <c r="C24" s="170"/>
      <c r="D24" s="166" t="s">
        <v>130</v>
      </c>
    </row>
    <row r="25" spans="1:6" x14ac:dyDescent="0.45">
      <c r="A25" s="422"/>
      <c r="B25" s="165" t="s">
        <v>130</v>
      </c>
      <c r="C25" s="170"/>
      <c r="D25" s="166" t="s">
        <v>130</v>
      </c>
    </row>
    <row r="26" spans="1:6" x14ac:dyDescent="0.45">
      <c r="A26" s="168"/>
      <c r="B26" s="165" t="s">
        <v>130</v>
      </c>
      <c r="C26" s="170"/>
      <c r="D26" s="166" t="s">
        <v>130</v>
      </c>
    </row>
    <row r="27" spans="1:6" x14ac:dyDescent="0.45">
      <c r="A27" s="168"/>
      <c r="B27" s="165" t="s">
        <v>130</v>
      </c>
      <c r="C27" s="170"/>
      <c r="D27" s="166" t="s">
        <v>130</v>
      </c>
    </row>
    <row r="28" spans="1:6" x14ac:dyDescent="0.45">
      <c r="A28" s="169"/>
      <c r="B28" s="292" t="s">
        <v>130</v>
      </c>
      <c r="C28" s="170"/>
      <c r="D28" s="166" t="s">
        <v>130</v>
      </c>
    </row>
    <row r="29" spans="1:6" x14ac:dyDescent="0.45">
      <c r="A29" s="169"/>
      <c r="B29" s="165" t="s">
        <v>130</v>
      </c>
      <c r="C29" s="170"/>
      <c r="D29" s="166" t="s">
        <v>130</v>
      </c>
    </row>
    <row r="30" spans="1:6" x14ac:dyDescent="0.45">
      <c r="A30" s="169"/>
      <c r="B30" s="165" t="s">
        <v>130</v>
      </c>
      <c r="C30" s="170"/>
      <c r="D30" s="166" t="s">
        <v>130</v>
      </c>
    </row>
    <row r="31" spans="1:6" x14ac:dyDescent="0.45">
      <c r="A31" s="169"/>
      <c r="B31" s="165" t="s">
        <v>130</v>
      </c>
      <c r="C31" s="170"/>
      <c r="D31" s="166" t="s">
        <v>130</v>
      </c>
    </row>
    <row r="32" spans="1:6" x14ac:dyDescent="0.45">
      <c r="A32" s="169"/>
      <c r="B32" s="165" t="s">
        <v>130</v>
      </c>
      <c r="C32" s="170"/>
      <c r="D32" s="166" t="s">
        <v>130</v>
      </c>
    </row>
    <row r="33" spans="1:4" x14ac:dyDescent="0.45">
      <c r="A33" s="169"/>
      <c r="B33" s="165" t="s">
        <v>130</v>
      </c>
      <c r="C33" s="170"/>
      <c r="D33" s="166" t="s">
        <v>130</v>
      </c>
    </row>
    <row r="34" spans="1:4" x14ac:dyDescent="0.45">
      <c r="A34" s="169"/>
      <c r="B34" s="165" t="s">
        <v>130</v>
      </c>
      <c r="C34" s="170"/>
      <c r="D34" s="166" t="s">
        <v>130</v>
      </c>
    </row>
    <row r="35" spans="1:4" ht="16.5" thickBot="1" x14ac:dyDescent="0.5">
      <c r="A35" s="164"/>
      <c r="B35" s="439" t="s">
        <v>11</v>
      </c>
      <c r="C35" s="38"/>
      <c r="D35" s="440" t="s">
        <v>12</v>
      </c>
    </row>
    <row r="36" spans="1:4" ht="24" customHeight="1" x14ac:dyDescent="0.45">
      <c r="B36" s="511" t="s">
        <v>13</v>
      </c>
      <c r="C36" s="512"/>
      <c r="D36" s="513"/>
    </row>
    <row r="37" spans="1:4" x14ac:dyDescent="0.45">
      <c r="B37" s="213" t="s">
        <v>112</v>
      </c>
      <c r="C37" s="37"/>
      <c r="D37" s="212" t="s">
        <v>113</v>
      </c>
    </row>
    <row r="38" spans="1:4" ht="17.5" customHeight="1" x14ac:dyDescent="0.45">
      <c r="B38" s="438" t="s">
        <v>14</v>
      </c>
      <c r="C38" s="37"/>
      <c r="D38" s="442" t="s">
        <v>15</v>
      </c>
    </row>
    <row r="39" spans="1:4" ht="17.5" customHeight="1" x14ac:dyDescent="0.45">
      <c r="B39" s="165" t="s">
        <v>130</v>
      </c>
      <c r="C39" s="37"/>
      <c r="D39" s="442" t="s">
        <v>16</v>
      </c>
    </row>
    <row r="40" spans="1:4" ht="17.5" customHeight="1" x14ac:dyDescent="0.45">
      <c r="B40" s="165" t="s">
        <v>130</v>
      </c>
      <c r="C40" s="37"/>
      <c r="D40" s="166" t="s">
        <v>130</v>
      </c>
    </row>
    <row r="41" spans="1:4" ht="17.5" customHeight="1" x14ac:dyDescent="0.45">
      <c r="B41" s="165" t="s">
        <v>130</v>
      </c>
      <c r="C41" s="37"/>
      <c r="D41" s="166" t="s">
        <v>130</v>
      </c>
    </row>
    <row r="42" spans="1:4" ht="18" customHeight="1" x14ac:dyDescent="0.45">
      <c r="B42" s="165" t="s">
        <v>130</v>
      </c>
      <c r="C42" s="37"/>
      <c r="D42" s="166" t="s">
        <v>130</v>
      </c>
    </row>
    <row r="43" spans="1:4" ht="18" customHeight="1" x14ac:dyDescent="0.45">
      <c r="B43" s="441" t="s">
        <v>130</v>
      </c>
      <c r="C43" s="37"/>
      <c r="D43" s="443" t="s">
        <v>130</v>
      </c>
    </row>
    <row r="44" spans="1:4" ht="18" customHeight="1" x14ac:dyDescent="0.45">
      <c r="B44" s="441" t="s">
        <v>130</v>
      </c>
      <c r="C44" s="37"/>
      <c r="D44" s="443" t="s">
        <v>130</v>
      </c>
    </row>
    <row r="45" spans="1:4" ht="18" customHeight="1" x14ac:dyDescent="0.45">
      <c r="B45" s="441" t="s">
        <v>130</v>
      </c>
      <c r="C45" s="37"/>
      <c r="D45" s="443" t="s">
        <v>130</v>
      </c>
    </row>
    <row r="46" spans="1:4" ht="17.5" customHeight="1" x14ac:dyDescent="0.45">
      <c r="B46" s="441" t="s">
        <v>130</v>
      </c>
      <c r="C46" s="37"/>
      <c r="D46" s="443" t="s">
        <v>130</v>
      </c>
    </row>
    <row r="47" spans="1:4" ht="16.5" thickBot="1" x14ac:dyDescent="0.5">
      <c r="B47" s="439" t="s">
        <v>17</v>
      </c>
      <c r="C47" s="38"/>
      <c r="D47" s="440" t="s">
        <v>18</v>
      </c>
    </row>
    <row r="48" spans="1:4" s="90" customFormat="1" ht="16.5" thickBot="1" x14ac:dyDescent="0.5"/>
    <row r="49" spans="2:6" s="90" customFormat="1" ht="17" x14ac:dyDescent="0.5">
      <c r="B49" s="485" t="s">
        <v>19</v>
      </c>
      <c r="C49" s="486"/>
      <c r="D49" s="487"/>
    </row>
    <row r="50" spans="2:6" s="90" customFormat="1" ht="16.5" x14ac:dyDescent="0.45">
      <c r="B50" s="32" t="s">
        <v>20</v>
      </c>
      <c r="C50" s="488"/>
      <c r="D50" s="489"/>
      <c r="F50" s="508" t="str">
        <f>"Le rapport prospectif et l'analyse des dépenses, recettes et indicateurs de fonctionnnement sera donc comparée sur la période " &amp;C50 &amp;"/" &amp;C51</f>
        <v>Le rapport prospectif et l'analyse des dépenses, recettes et indicateurs de fonctionnnement sera donc comparée sur la période /</v>
      </c>
    </row>
    <row r="51" spans="2:6" s="90" customFormat="1" ht="17" thickBot="1" x14ac:dyDescent="0.5">
      <c r="B51" s="36" t="s">
        <v>21</v>
      </c>
      <c r="C51" s="490"/>
      <c r="D51" s="491"/>
      <c r="F51" s="508"/>
    </row>
    <row r="52" spans="2:6" s="90" customFormat="1" ht="16.5" thickBot="1" x14ac:dyDescent="0.5">
      <c r="B52" s="475"/>
      <c r="C52" s="475"/>
      <c r="D52" s="475"/>
      <c r="F52" s="475"/>
    </row>
    <row r="53" spans="2:6" s="90" customFormat="1" ht="17" x14ac:dyDescent="0.5">
      <c r="B53" s="492" t="s">
        <v>193</v>
      </c>
      <c r="C53" s="493"/>
      <c r="D53" s="494"/>
      <c r="F53" s="475"/>
    </row>
    <row r="54" spans="2:6" s="90" customFormat="1" ht="16.5" customHeight="1" x14ac:dyDescent="0.45">
      <c r="B54" s="335" t="s">
        <v>182</v>
      </c>
      <c r="C54" s="502"/>
      <c r="D54" s="503"/>
      <c r="F54" s="522" t="s">
        <v>192</v>
      </c>
    </row>
    <row r="55" spans="2:6" s="90" customFormat="1" ht="17.25" customHeight="1" x14ac:dyDescent="0.45">
      <c r="B55" s="335" t="s">
        <v>194</v>
      </c>
      <c r="C55" s="502"/>
      <c r="D55" s="503"/>
      <c r="F55" s="522"/>
    </row>
    <row r="56" spans="2:6" s="90" customFormat="1" ht="16.5" customHeight="1" thickBot="1" x14ac:dyDescent="0.5">
      <c r="B56" s="336" t="s">
        <v>139</v>
      </c>
      <c r="C56" s="504"/>
      <c r="D56" s="505"/>
      <c r="F56" s="522"/>
    </row>
    <row r="57" spans="2:6" s="90" customFormat="1" hidden="1" x14ac:dyDescent="0.45">
      <c r="B57" s="90" t="s">
        <v>22</v>
      </c>
      <c r="C57" s="31"/>
      <c r="D57" s="31"/>
    </row>
    <row r="58" spans="2:6" s="90" customFormat="1" hidden="1" x14ac:dyDescent="0.45">
      <c r="B58" s="90" t="s">
        <v>4</v>
      </c>
      <c r="D58" s="30" t="str">
        <f>+B21</f>
        <v>Charges de personnel</v>
      </c>
    </row>
    <row r="59" spans="2:6" s="90" customFormat="1" hidden="1" x14ac:dyDescent="0.45">
      <c r="B59" s="90" t="s">
        <v>23</v>
      </c>
      <c r="D59" s="167" t="str">
        <f t="shared" ref="D59:D71" si="0">B23</f>
        <v xml:space="preserve"> </v>
      </c>
    </row>
    <row r="60" spans="2:6" s="90" customFormat="1" hidden="1" x14ac:dyDescent="0.45">
      <c r="D60" s="167" t="str">
        <f t="shared" si="0"/>
        <v xml:space="preserve"> </v>
      </c>
    </row>
    <row r="61" spans="2:6" s="90" customFormat="1" hidden="1" x14ac:dyDescent="0.45">
      <c r="B61" s="90">
        <f>C8</f>
        <v>0</v>
      </c>
      <c r="D61" s="167" t="str">
        <f t="shared" si="0"/>
        <v xml:space="preserve"> </v>
      </c>
    </row>
    <row r="62" spans="2:6" hidden="1" x14ac:dyDescent="0.45">
      <c r="B62" s="30">
        <f>B61+1</f>
        <v>1</v>
      </c>
      <c r="D62" s="167" t="str">
        <f t="shared" si="0"/>
        <v xml:space="preserve"> </v>
      </c>
    </row>
    <row r="63" spans="2:6" hidden="1" x14ac:dyDescent="0.45">
      <c r="B63" s="30">
        <f t="shared" ref="B63:B70" si="1">B62+1</f>
        <v>2</v>
      </c>
      <c r="D63" s="167" t="str">
        <f t="shared" si="0"/>
        <v xml:space="preserve"> </v>
      </c>
    </row>
    <row r="64" spans="2:6" hidden="1" x14ac:dyDescent="0.45">
      <c r="B64" s="30">
        <f t="shared" si="1"/>
        <v>3</v>
      </c>
      <c r="D64" s="167" t="str">
        <f t="shared" si="0"/>
        <v xml:space="preserve"> </v>
      </c>
    </row>
    <row r="65" spans="2:4" hidden="1" x14ac:dyDescent="0.45">
      <c r="B65" s="30">
        <f t="shared" si="1"/>
        <v>4</v>
      </c>
      <c r="D65" s="167" t="str">
        <f t="shared" si="0"/>
        <v xml:space="preserve"> </v>
      </c>
    </row>
    <row r="66" spans="2:4" hidden="1" x14ac:dyDescent="0.45">
      <c r="B66" s="30">
        <f t="shared" si="1"/>
        <v>5</v>
      </c>
      <c r="D66" s="167" t="str">
        <f t="shared" si="0"/>
        <v xml:space="preserve"> </v>
      </c>
    </row>
    <row r="67" spans="2:4" hidden="1" x14ac:dyDescent="0.45">
      <c r="B67" s="30">
        <f t="shared" si="1"/>
        <v>6</v>
      </c>
      <c r="D67" s="167" t="str">
        <f t="shared" si="0"/>
        <v xml:space="preserve"> </v>
      </c>
    </row>
    <row r="68" spans="2:4" hidden="1" x14ac:dyDescent="0.45">
      <c r="B68" s="30">
        <f>B67+1</f>
        <v>7</v>
      </c>
      <c r="D68" s="167" t="str">
        <f t="shared" si="0"/>
        <v xml:space="preserve"> </v>
      </c>
    </row>
    <row r="69" spans="2:4" hidden="1" x14ac:dyDescent="0.45">
      <c r="B69" s="30">
        <f t="shared" si="1"/>
        <v>8</v>
      </c>
      <c r="D69" s="167" t="str">
        <f t="shared" si="0"/>
        <v xml:space="preserve"> </v>
      </c>
    </row>
    <row r="70" spans="2:4" hidden="1" x14ac:dyDescent="0.45">
      <c r="B70" s="30">
        <f t="shared" si="1"/>
        <v>9</v>
      </c>
      <c r="D70" s="167" t="str">
        <f t="shared" si="0"/>
        <v xml:space="preserve"> </v>
      </c>
    </row>
    <row r="71" spans="2:4" hidden="1" x14ac:dyDescent="0.45">
      <c r="B71" s="30" t="s">
        <v>135</v>
      </c>
      <c r="D71" s="167" t="str">
        <f t="shared" si="0"/>
        <v>Autres dépenses réelles de fonctionnement</v>
      </c>
    </row>
    <row r="72" spans="2:4" hidden="1" x14ac:dyDescent="0.45">
      <c r="B72" s="30" t="s">
        <v>137</v>
      </c>
    </row>
    <row r="73" spans="2:4" hidden="1" x14ac:dyDescent="0.45">
      <c r="B73" s="30" t="s">
        <v>138</v>
      </c>
    </row>
  </sheetData>
  <sheetProtection algorithmName="SHA-512" hashValue="El6P4II5qWYluIFwVjtgWu5v1GGB1vCICVhDPbA9vAj6VjlqXIggkZpZyfFA6JWvF4dkXR2bR0p0QDKvymexwQ==" saltValue="ioWIJsBs9Dw8o+Tmk18BNA==" spinCount="100000" sheet="1" objects="1" scenarios="1"/>
  <mergeCells count="23">
    <mergeCell ref="C54:D54"/>
    <mergeCell ref="C55:D55"/>
    <mergeCell ref="C56:D56"/>
    <mergeCell ref="C9:D9"/>
    <mergeCell ref="F50:F51"/>
    <mergeCell ref="C12:D12"/>
    <mergeCell ref="B18:D18"/>
    <mergeCell ref="B19:D19"/>
    <mergeCell ref="B36:D36"/>
    <mergeCell ref="C11:D11"/>
    <mergeCell ref="C15:D15"/>
    <mergeCell ref="C10:D10"/>
    <mergeCell ref="C13:D13"/>
    <mergeCell ref="C14:D14"/>
    <mergeCell ref="F54:F56"/>
    <mergeCell ref="B1:D1"/>
    <mergeCell ref="B49:D49"/>
    <mergeCell ref="C50:D50"/>
    <mergeCell ref="C51:D51"/>
    <mergeCell ref="B53:D53"/>
    <mergeCell ref="B6:D6"/>
    <mergeCell ref="C7:D7"/>
    <mergeCell ref="C8:D8"/>
  </mergeCells>
  <dataValidations count="4">
    <dataValidation type="list" allowBlank="1" showInputMessage="1" showErrorMessage="1" sqref="C50:D50" xr:uid="{E3747E05-0B17-43F9-AE0B-9DC428316D8B}">
      <formula1>$B$61:$B$68</formula1>
    </dataValidation>
    <dataValidation type="list" errorStyle="warning" allowBlank="1" showInputMessage="1" showErrorMessage="1" errorTitle="Saisie non conforme" error="Merci de choisir parmis les trois entrées possibles : N+2 ; N+1 ou N ." sqref="C14:D14" xr:uid="{C1BE261B-3608-41B1-8B13-85D36775539C}">
      <formula1>$B$71:$B$73</formula1>
    </dataValidation>
    <dataValidation type="list" errorStyle="warning" allowBlank="1" showInputMessage="1" showErrorMessage="1" errorTitle="Saisie non conforme" error="L'année sélectionnée doit être compris dans la période de la prospective." sqref="C51:D52" xr:uid="{5A48E265-EAF6-495F-AD3A-14E6896A844A}">
      <formula1>B65:B70</formula1>
    </dataValidation>
    <dataValidation type="list" allowBlank="1" showInputMessage="1" showErrorMessage="1" sqref="C10:D10" xr:uid="{AB549D6A-BE37-4F3F-A35F-2E8E6A8AEF5A}">
      <formula1>$B$57:$B$59</formula1>
    </dataValidation>
  </dataValidations>
  <pageMargins left="0.7" right="0.7" top="0.75" bottom="0.75" header="0.3" footer="0.3"/>
  <pageSetup paperSize="9" scale="62" fitToHeight="0" orientation="portrait" r:id="rId1"/>
  <drawing r:id="rId2"/>
  <extLst>
    <ext xmlns:x14="http://schemas.microsoft.com/office/spreadsheetml/2009/9/main" uri="{CCE6A557-97BC-4b89-ADB6-D9C93CAAB3DF}">
      <x14:dataValidations xmlns:xm="http://schemas.microsoft.com/office/excel/2006/main" count="1">
        <x14:dataValidation type="list" errorStyle="warning" allowBlank="1" showInputMessage="1" showErrorMessage="1" errorTitle="Erreur" error="Merci de choisir parmis les trois entrées possibles : Oui ; Non ; Pas d'information" xr:uid="{D77BE5D7-462E-4038-AB69-3CD388318DF6}">
          <x14:formula1>
            <xm:f>'8-Autres enjeux annexes'!$F$34:$F$36</xm:f>
          </x14:formula1>
          <xm:sqref>C54:D56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AC306F-7C9C-4375-BE2D-2E746345135B}">
  <sheetPr codeName="Feuil2">
    <pageSetUpPr fitToPage="1"/>
  </sheetPr>
  <dimension ref="A1:S58"/>
  <sheetViews>
    <sheetView zoomScale="80" zoomScaleNormal="80" workbookViewId="0">
      <selection activeCell="A30" sqref="A30"/>
    </sheetView>
  </sheetViews>
  <sheetFormatPr baseColWidth="10" defaultColWidth="11.54296875" defaultRowHeight="16" x14ac:dyDescent="0.45"/>
  <cols>
    <col min="1" max="1" width="57.453125" style="39" customWidth="1"/>
    <col min="2" max="2" width="9.7265625" style="39" customWidth="1"/>
    <col min="3" max="6" width="11.7265625" style="39" customWidth="1"/>
    <col min="7" max="7" width="14.81640625" style="39" customWidth="1"/>
    <col min="8" max="13" width="11.7265625" style="39" customWidth="1"/>
    <col min="14" max="14" width="1.26953125" style="39" customWidth="1"/>
    <col min="15" max="15" width="11.54296875" style="39" customWidth="1"/>
    <col min="16" max="16" width="1.26953125" style="39" customWidth="1"/>
    <col min="17" max="16384" width="11.54296875" style="39"/>
  </cols>
  <sheetData>
    <row r="1" spans="1:19" ht="21.5" thickBot="1" x14ac:dyDescent="0.6">
      <c r="A1" s="529" t="str">
        <f>"SECTION DE FONCTIONNEMENT - scénario " &amp;'1-Informations-paramètres '!C9</f>
        <v xml:space="preserve">SECTION DE FONCTIONNEMENT - scénario </v>
      </c>
      <c r="B1" s="530"/>
      <c r="C1" s="530"/>
      <c r="D1" s="530"/>
      <c r="E1" s="530"/>
      <c r="F1" s="530"/>
      <c r="G1" s="530"/>
      <c r="H1" s="530"/>
      <c r="I1" s="530"/>
      <c r="J1" s="530"/>
      <c r="K1" s="530"/>
      <c r="L1" s="530"/>
      <c r="M1" s="530"/>
      <c r="N1" s="530"/>
      <c r="O1" s="530"/>
      <c r="P1" s="530"/>
      <c r="Q1" s="531"/>
    </row>
    <row r="2" spans="1:19" ht="16.149999999999999" customHeight="1" thickBot="1" x14ac:dyDescent="0.5">
      <c r="A2" s="528" t="str">
        <f>"Les montants ci-dessous sont exprimés " &amp; '1-Informations-paramètres '!C10</f>
        <v xml:space="preserve">Les montants ci-dessous sont exprimés </v>
      </c>
      <c r="B2" s="528"/>
      <c r="C2" s="528"/>
      <c r="D2" s="528"/>
      <c r="E2" s="528"/>
      <c r="F2" s="528"/>
      <c r="G2" s="528"/>
      <c r="H2" s="528"/>
      <c r="I2" s="528"/>
      <c r="J2" s="528"/>
      <c r="K2" s="528"/>
      <c r="L2" s="528"/>
      <c r="M2" s="528"/>
    </row>
    <row r="3" spans="1:19" ht="16.5" x14ac:dyDescent="0.45">
      <c r="A3" s="192" t="s">
        <v>99</v>
      </c>
      <c r="B3" s="550">
        <f>C9</f>
        <v>0</v>
      </c>
      <c r="C3" s="551"/>
    </row>
    <row r="4" spans="1:19" x14ac:dyDescent="0.45">
      <c r="A4" s="105" t="s">
        <v>100</v>
      </c>
      <c r="B4" s="546"/>
      <c r="C4" s="547"/>
      <c r="D4" s="374" t="s">
        <v>118</v>
      </c>
    </row>
    <row r="5" spans="1:19" ht="16.5" thickBot="1" x14ac:dyDescent="0.5">
      <c r="A5" s="106" t="s">
        <v>24</v>
      </c>
      <c r="B5" s="548"/>
      <c r="C5" s="549"/>
      <c r="D5" s="375" t="s">
        <v>117</v>
      </c>
      <c r="F5" s="40"/>
      <c r="H5" s="75"/>
      <c r="I5" s="339"/>
      <c r="J5" s="339"/>
      <c r="K5" s="339"/>
      <c r="L5" s="339"/>
      <c r="M5" s="339"/>
    </row>
    <row r="6" spans="1:19" ht="16.5" thickBot="1" x14ac:dyDescent="0.5">
      <c r="C6" s="41"/>
    </row>
    <row r="7" spans="1:19" ht="23.25" customHeight="1" thickBot="1" x14ac:dyDescent="0.5">
      <c r="A7" s="42"/>
      <c r="C7" s="540" t="s">
        <v>25</v>
      </c>
      <c r="D7" s="541"/>
      <c r="E7" s="541"/>
      <c r="F7" s="542"/>
      <c r="H7" s="543" t="s">
        <v>26</v>
      </c>
      <c r="I7" s="544"/>
      <c r="J7" s="544"/>
      <c r="K7" s="544"/>
      <c r="L7" s="544"/>
      <c r="M7" s="545"/>
      <c r="Q7" s="75"/>
    </row>
    <row r="8" spans="1:19" ht="4.9000000000000004" hidden="1" customHeight="1" thickBot="1" x14ac:dyDescent="0.5"/>
    <row r="9" spans="1:19" ht="27" customHeight="1" x14ac:dyDescent="0.45">
      <c r="A9" s="180" t="s">
        <v>27</v>
      </c>
      <c r="B9" s="181" t="s">
        <v>101</v>
      </c>
      <c r="C9" s="286">
        <f>'1-Informations-paramètres '!C8</f>
        <v>0</v>
      </c>
      <c r="D9" s="287">
        <f>C9+1</f>
        <v>1</v>
      </c>
      <c r="E9" s="287">
        <f>D9+1</f>
        <v>2</v>
      </c>
      <c r="F9" s="287">
        <f>E9+1</f>
        <v>3</v>
      </c>
      <c r="G9" s="536" t="s">
        <v>28</v>
      </c>
      <c r="H9" s="288">
        <f>F9+1</f>
        <v>4</v>
      </c>
      <c r="I9" s="287">
        <f>H9+1</f>
        <v>5</v>
      </c>
      <c r="J9" s="287">
        <f>I9+1</f>
        <v>6</v>
      </c>
      <c r="K9" s="287">
        <f>J9+1</f>
        <v>7</v>
      </c>
      <c r="L9" s="287">
        <f>K9+1</f>
        <v>8</v>
      </c>
      <c r="M9" s="289">
        <f>L9+1</f>
        <v>9</v>
      </c>
      <c r="O9" s="214" t="str">
        <f>"Evolution " &amp;C9 &amp;"/" &amp;F9</f>
        <v>Evolution 0/3</v>
      </c>
      <c r="Q9" s="214" t="str">
        <f>"Evolution " &amp;'1-Informations-paramètres '!C50 &amp;"/" &amp;'1-Informations-paramètres '!C51</f>
        <v>Evolution /</v>
      </c>
    </row>
    <row r="10" spans="1:19" ht="16.5" x14ac:dyDescent="0.45">
      <c r="A10" s="43" t="s">
        <v>29</v>
      </c>
      <c r="B10" s="44"/>
      <c r="C10" s="62"/>
      <c r="D10" s="63"/>
      <c r="E10" s="63"/>
      <c r="F10" s="63"/>
      <c r="G10" s="537"/>
      <c r="H10" s="45">
        <f t="shared" ref="H10:M10" si="0">SUM(H11:H26)</f>
        <v>0</v>
      </c>
      <c r="I10" s="46">
        <f t="shared" si="0"/>
        <v>0</v>
      </c>
      <c r="J10" s="46">
        <f t="shared" si="0"/>
        <v>0</v>
      </c>
      <c r="K10" s="46">
        <f t="shared" si="0"/>
        <v>0</v>
      </c>
      <c r="L10" s="46">
        <f t="shared" si="0"/>
        <v>0</v>
      </c>
      <c r="M10" s="47">
        <f t="shared" si="0"/>
        <v>0</v>
      </c>
      <c r="O10" s="91">
        <f>IFERROR((F10-C10)/C10,0)</f>
        <v>0</v>
      </c>
      <c r="P10" s="223"/>
      <c r="Q10" s="91">
        <f>-IFERROR((INDEX(C10:M10, MATCH('1-Informations-paramètres '!C$50, $C$9:$M$9, 0)) - INDEX(C10:M10, MATCH('1-Informations-paramètres '!C$51, $C$9:$M$9, 0))) / INDEX(C10:F10, MATCH('1-Informations-paramètres '!C$50, $C$9:$M$9, 0)), "0")</f>
        <v>0</v>
      </c>
      <c r="S10" s="41"/>
    </row>
    <row r="11" spans="1:19" x14ac:dyDescent="0.45">
      <c r="A11" s="389" t="s">
        <v>9</v>
      </c>
      <c r="B11" s="408" t="s">
        <v>30</v>
      </c>
      <c r="C11" s="64"/>
      <c r="D11" s="65"/>
      <c r="E11" s="65"/>
      <c r="F11" s="65"/>
      <c r="G11" s="344" t="s">
        <v>125</v>
      </c>
      <c r="H11" s="49">
        <f>IFERROR(F11+(VLOOKUP(G11,Scénario_Evolution,3,FALSE)*F11)+SUMIFS('3-Variations du fonctionnement'!$C$17:$C$26,'3-Variations du fonctionnement'!$B$17:$B$26,'2-Section de Fonctionnement'!A11),0)</f>
        <v>0</v>
      </c>
      <c r="I11" s="50">
        <f>IFERROR(H11+(VLOOKUP(G11,Scénario_Evolution,4,FALSE)*H11)+SUMIFS('3-Variations du fonctionnement'!$D$17:$D$26,'3-Variations du fonctionnement'!$B$17:$B$26,'2-Section de Fonctionnement'!A11),0)</f>
        <v>0</v>
      </c>
      <c r="J11" s="50">
        <f>IFERROR(I11+(VLOOKUP(G11,Scénario_Evolution,5,FALSE)*I11)+SUMIFS('3-Variations du fonctionnement'!$E$17:$E$26,'3-Variations du fonctionnement'!$B$17:$B$26,'2-Section de Fonctionnement'!A11),0)</f>
        <v>0</v>
      </c>
      <c r="K11" s="50">
        <f>IFERROR(J11+(VLOOKUP(G11,Scénario_Evolution,6,FALSE)*J11)+SUMIFS('3-Variations du fonctionnement'!$F$17:$F$26,'3-Variations du fonctionnement'!$B$17:$B$26,'2-Section de Fonctionnement'!A11),0)</f>
        <v>0</v>
      </c>
      <c r="L11" s="50">
        <f>IFERROR(K11+(VLOOKUP(G11,Scénario_Evolution,7,FALSE)*K11)+SUMIFS('3-Variations du fonctionnement'!$G$17:$G$26,'3-Variations du fonctionnement'!$B$17:$B$26,'2-Section de Fonctionnement'!A11),0)</f>
        <v>0</v>
      </c>
      <c r="M11" s="51">
        <f>IFERROR(L11+(VLOOKUP(G11,Scénario_Evolution,8,FALSE)*L11)+SUMIFS('3-Variations du fonctionnement'!$H$17:$H$26,'3-Variations du fonctionnement'!$B$17:$B$26,'2-Section de Fonctionnement'!A11),0)</f>
        <v>0</v>
      </c>
      <c r="O11" s="225">
        <f t="shared" ref="O11:O26" si="1">IFERROR((F11-C11)/C11,0)</f>
        <v>0</v>
      </c>
      <c r="P11" s="223"/>
      <c r="Q11" s="225">
        <f>-IFERROR((INDEX(C11:M11, MATCH('1-Informations-paramètres '!C$50, $C$9:$M$9, 0)) - INDEX(C11:M11, MATCH('1-Informations-paramètres '!C$51, $C$9:$M$9, 0))) / INDEX(C11:F11, MATCH('1-Informations-paramètres '!C$50, $C$9:$M$9, 0)), "0")</f>
        <v>0</v>
      </c>
      <c r="R11" s="39" t="str">
        <f>IFERROR((INDEX(C11:F11, MATCH(Q$4, $C$9:$F$9, 0)) - INDEX(C11:F11, MATCH(R$4, $C$9:$F$9, 0))) / INDEX(C11:F11, MATCH(Q$4, $C$9:$F$9, 0)) * 100, "")</f>
        <v/>
      </c>
    </row>
    <row r="12" spans="1:19" x14ac:dyDescent="0.45">
      <c r="A12" s="389" t="s">
        <v>10</v>
      </c>
      <c r="B12" s="408" t="s">
        <v>30</v>
      </c>
      <c r="C12" s="64"/>
      <c r="D12" s="65"/>
      <c r="E12" s="65"/>
      <c r="F12" s="65"/>
      <c r="G12" s="391" t="s">
        <v>111</v>
      </c>
      <c r="H12" s="49">
        <f>IFERROR('5-Recours à la dette '!F50,0)</f>
        <v>0</v>
      </c>
      <c r="I12" s="49">
        <f>IFERROR('5-Recours à la dette '!G50,0)</f>
        <v>0</v>
      </c>
      <c r="J12" s="49">
        <f>IFERROR('5-Recours à la dette '!H50,0)</f>
        <v>0</v>
      </c>
      <c r="K12" s="49">
        <f>IFERROR('5-Recours à la dette '!I50,0)</f>
        <v>0</v>
      </c>
      <c r="L12" s="49">
        <f>IFERROR('5-Recours à la dette '!J50,0)</f>
        <v>0</v>
      </c>
      <c r="M12" s="52">
        <f>IFERROR('5-Recours à la dette '!K50,0)</f>
        <v>0</v>
      </c>
      <c r="O12" s="225">
        <f t="shared" si="1"/>
        <v>0</v>
      </c>
      <c r="P12" s="223"/>
      <c r="Q12" s="225">
        <f>-IFERROR((INDEX(C12:M12, MATCH('1-Informations-paramètres '!C$50, $C$9:$M$9, 0)) - INDEX(C12:M12, MATCH('1-Informations-paramètres '!C$51, $C$9:$M$9, 0))) / INDEX(C12:F12, MATCH('1-Informations-paramètres '!C$50, $C$9:$M$9, 0)), "0")</f>
        <v>0</v>
      </c>
    </row>
    <row r="13" spans="1:19" x14ac:dyDescent="0.45">
      <c r="A13" s="120"/>
      <c r="B13" s="393"/>
      <c r="C13" s="64"/>
      <c r="D13" s="65"/>
      <c r="E13" s="65"/>
      <c r="F13" s="65"/>
      <c r="G13" s="344"/>
      <c r="H13" s="49">
        <f>IFERROR(F13+(VLOOKUP(G13,Scénario_Evolution,3,FALSE)*F13)+SUMIFS('3-Variations du fonctionnement'!$C$17:$C$26,'3-Variations du fonctionnement'!$B$17:$B$26,'2-Section de Fonctionnement'!A13),0)</f>
        <v>0</v>
      </c>
      <c r="I13" s="50">
        <f>IFERROR(H13+(VLOOKUP(G13,Scénario_Evolution,4,FALSE)*H13)+SUMIFS('3-Variations du fonctionnement'!$D$17:$D$26,'3-Variations du fonctionnement'!$B$17:$B$26,'2-Section de Fonctionnement'!A13),0)</f>
        <v>0</v>
      </c>
      <c r="J13" s="50">
        <f>IFERROR(I13+(VLOOKUP(G13,Scénario_Evolution,5,FALSE)*I13)+SUMIFS('3-Variations du fonctionnement'!$E$17:$E$26,'3-Variations du fonctionnement'!$B$17:$B$26,'2-Section de Fonctionnement'!A13),0)</f>
        <v>0</v>
      </c>
      <c r="K13" s="50">
        <f>IFERROR(J13+(VLOOKUP(G13,Scénario_Evolution,6,FALSE)*J13)+SUMIFS('3-Variations du fonctionnement'!$F$17:$F$26,'3-Variations du fonctionnement'!$B$17:$B$26,'2-Section de Fonctionnement'!A13),0)</f>
        <v>0</v>
      </c>
      <c r="L13" s="50">
        <f>IFERROR(K13+(VLOOKUP(G13,Scénario_Evolution,7,FALSE)*K13)+SUMIFS('3-Variations du fonctionnement'!$G$17:$G$26,'3-Variations du fonctionnement'!$B$17:$B$26,'2-Section de Fonctionnement'!A13),0)</f>
        <v>0</v>
      </c>
      <c r="M13" s="51">
        <f>IFERROR(L13+(VLOOKUP(G13,Scénario_Evolution,8,FALSE)*L13)+SUMIFS('3-Variations du fonctionnement'!$H$17:$H$26,'3-Variations du fonctionnement'!$B$17:$B$26,'2-Section de Fonctionnement'!A13),0)</f>
        <v>0</v>
      </c>
      <c r="O13" s="225">
        <f t="shared" si="1"/>
        <v>0</v>
      </c>
      <c r="P13" s="223"/>
      <c r="Q13" s="225">
        <f>-IFERROR((INDEX(C13:M13, MATCH('1-Informations-paramètres '!C$50, $C$9:$M$9, 0)) - INDEX(C13:M13, MATCH('1-Informations-paramètres '!C$51, $C$9:$M$9, 0))) / INDEX(C13:F13, MATCH('1-Informations-paramètres '!C$50, $C$9:$M$9, 0)), "0")</f>
        <v>0</v>
      </c>
    </row>
    <row r="14" spans="1:19" x14ac:dyDescent="0.45">
      <c r="A14" s="120"/>
      <c r="B14" s="393"/>
      <c r="C14" s="64"/>
      <c r="D14" s="65"/>
      <c r="E14" s="65"/>
      <c r="F14" s="65"/>
      <c r="G14" s="344"/>
      <c r="H14" s="49">
        <f>IFERROR(F14+(VLOOKUP(G14,Scénario_Evolution,3,FALSE)*F14)+SUMIFS('3-Variations du fonctionnement'!$C$17:$C$26,'3-Variations du fonctionnement'!$B$17:$B$26,'2-Section de Fonctionnement'!A14),0)</f>
        <v>0</v>
      </c>
      <c r="I14" s="50">
        <f>IFERROR(H14+(VLOOKUP(G14,Scénario_Evolution,4,FALSE)*H14)+SUMIFS('3-Variations du fonctionnement'!$D$17:$D$26,'3-Variations du fonctionnement'!$B$17:$B$26,'2-Section de Fonctionnement'!A14),0)</f>
        <v>0</v>
      </c>
      <c r="J14" s="50">
        <f>IFERROR(I14+(VLOOKUP(G14,Scénario_Evolution,5,FALSE)*I14)+SUMIFS('3-Variations du fonctionnement'!$E$17:$E$26,'3-Variations du fonctionnement'!$B$17:$B$26,'2-Section de Fonctionnement'!A14),0)</f>
        <v>0</v>
      </c>
      <c r="K14" s="50">
        <f>IFERROR(J14+(VLOOKUP(G14,Scénario_Evolution,6,FALSE)*J14)+SUMIFS('3-Variations du fonctionnement'!$F$17:$F$26,'3-Variations du fonctionnement'!$B$17:$B$26,'2-Section de Fonctionnement'!A14),0)</f>
        <v>0</v>
      </c>
      <c r="L14" s="50">
        <f>IFERROR(K14+(VLOOKUP(G14,Scénario_Evolution,7,FALSE)*K14)+SUMIFS('3-Variations du fonctionnement'!$G$17:$G$26,'3-Variations du fonctionnement'!$B$17:$B$26,'2-Section de Fonctionnement'!A14),0)</f>
        <v>0</v>
      </c>
      <c r="M14" s="51">
        <f>IFERROR(L14+(VLOOKUP(G14,Scénario_Evolution,8,FALSE)*L14)+SUMIFS('3-Variations du fonctionnement'!$H$17:$H$26,'3-Variations du fonctionnement'!$B$17:$B$26,'2-Section de Fonctionnement'!A14),0)</f>
        <v>0</v>
      </c>
      <c r="O14" s="225">
        <f t="shared" si="1"/>
        <v>0</v>
      </c>
      <c r="P14" s="223"/>
      <c r="Q14" s="225">
        <f>-IFERROR((INDEX(C14:M14, MATCH('1-Informations-paramètres '!C$50, $C$9:$M$9, 0)) - INDEX(C14:M14, MATCH('1-Informations-paramètres '!C$51, $C$9:$M$9, 0))) / INDEX(C14:F14, MATCH('1-Informations-paramètres '!C$50, $C$9:$M$9, 0)), "0")</f>
        <v>0</v>
      </c>
    </row>
    <row r="15" spans="1:19" x14ac:dyDescent="0.45">
      <c r="A15" s="120"/>
      <c r="B15" s="393"/>
      <c r="C15" s="64"/>
      <c r="D15" s="65"/>
      <c r="E15" s="65"/>
      <c r="F15" s="65"/>
      <c r="G15" s="344"/>
      <c r="H15" s="49">
        <f>IFERROR(F15+(VLOOKUP(G15,Scénario_Evolution,3,FALSE)*F15)+SUMIFS('3-Variations du fonctionnement'!$C$17:$C$26,'3-Variations du fonctionnement'!$B$17:$B$26,'2-Section de Fonctionnement'!A15),0)</f>
        <v>0</v>
      </c>
      <c r="I15" s="50">
        <f>IFERROR(H15+(VLOOKUP(G15,Scénario_Evolution,4,FALSE)*H15)+SUMIFS('3-Variations du fonctionnement'!$D$17:$D$26,'3-Variations du fonctionnement'!$B$17:$B$26,'2-Section de Fonctionnement'!A15),0)</f>
        <v>0</v>
      </c>
      <c r="J15" s="50">
        <f>IFERROR(I15+(VLOOKUP(G15,Scénario_Evolution,5,FALSE)*I15)+SUMIFS('3-Variations du fonctionnement'!$E$17:$E$26,'3-Variations du fonctionnement'!$B$17:$B$26,'2-Section de Fonctionnement'!A15),0)</f>
        <v>0</v>
      </c>
      <c r="K15" s="50">
        <f>IFERROR(J15+(VLOOKUP(G15,Scénario_Evolution,6,FALSE)*J15)+SUMIFS('3-Variations du fonctionnement'!$F$17:$F$26,'3-Variations du fonctionnement'!$B$17:$B$26,'2-Section de Fonctionnement'!A15),0)</f>
        <v>0</v>
      </c>
      <c r="L15" s="50">
        <f>IFERROR(K15+(VLOOKUP(G15,Scénario_Evolution,7,FALSE)*K15)+SUMIFS('3-Variations du fonctionnement'!$G$17:$G$26,'3-Variations du fonctionnement'!$B$17:$B$26,'2-Section de Fonctionnement'!A15),0)</f>
        <v>0</v>
      </c>
      <c r="M15" s="51">
        <f>IFERROR(L15+(VLOOKUP(G15,Scénario_Evolution,8,FALSE)*L15)+SUMIFS('3-Variations du fonctionnement'!$H$17:$H$26,'3-Variations du fonctionnement'!$B$17:$B$26,'2-Section de Fonctionnement'!A15),0)</f>
        <v>0</v>
      </c>
      <c r="O15" s="225">
        <f t="shared" si="1"/>
        <v>0</v>
      </c>
      <c r="P15" s="223"/>
      <c r="Q15" s="225">
        <f>-IFERROR((INDEX(C15:M15, MATCH('1-Informations-paramètres '!C$50, $C$9:$M$9, 0)) - INDEX(C15:M15, MATCH('1-Informations-paramètres '!C$51, $C$9:$M$9, 0))) / INDEX(C15:F15, MATCH('1-Informations-paramètres '!C$50, $C$9:$M$9, 0)), "0")</f>
        <v>0</v>
      </c>
    </row>
    <row r="16" spans="1:19" x14ac:dyDescent="0.45">
      <c r="A16" s="120"/>
      <c r="B16" s="393"/>
      <c r="C16" s="64"/>
      <c r="D16" s="65"/>
      <c r="E16" s="65"/>
      <c r="F16" s="65"/>
      <c r="G16" s="344"/>
      <c r="H16" s="49">
        <f>IFERROR(F16+(VLOOKUP(G16,Scénario_Evolution,3,FALSE)*F16)+SUMIFS('3-Variations du fonctionnement'!$C$17:$C$26,'3-Variations du fonctionnement'!$B$17:$B$26,'2-Section de Fonctionnement'!A16),0)</f>
        <v>0</v>
      </c>
      <c r="I16" s="50">
        <f>IFERROR(H16+(VLOOKUP(G16,Scénario_Evolution,4,FALSE)*H16)+SUMIFS('3-Variations du fonctionnement'!$D$17:$D$26,'3-Variations du fonctionnement'!$B$17:$B$26,'2-Section de Fonctionnement'!A16),0)</f>
        <v>0</v>
      </c>
      <c r="J16" s="50">
        <f>IFERROR(I16+(VLOOKUP(G16,Scénario_Evolution,5,FALSE)*I16)+SUMIFS('3-Variations du fonctionnement'!$E$17:$E$26,'3-Variations du fonctionnement'!$B$17:$B$26,'2-Section de Fonctionnement'!A16),0)</f>
        <v>0</v>
      </c>
      <c r="K16" s="50">
        <f>IFERROR(J16+(VLOOKUP(G16,Scénario_Evolution,6,FALSE)*J16)+SUMIFS('3-Variations du fonctionnement'!$F$17:$F$26,'3-Variations du fonctionnement'!$B$17:$B$26,'2-Section de Fonctionnement'!A16),0)</f>
        <v>0</v>
      </c>
      <c r="L16" s="50">
        <f>IFERROR(K16+(VLOOKUP(G16,Scénario_Evolution,7,FALSE)*K16)+SUMIFS('3-Variations du fonctionnement'!$G$17:$G$26,'3-Variations du fonctionnement'!$B$17:$B$26,'2-Section de Fonctionnement'!A16),0)</f>
        <v>0</v>
      </c>
      <c r="M16" s="51">
        <f>IFERROR(L16+(VLOOKUP(G16,Scénario_Evolution,8,FALSE)*L16)+SUMIFS('3-Variations du fonctionnement'!$H$17:$H$26,'3-Variations du fonctionnement'!$B$17:$B$26,'2-Section de Fonctionnement'!A16),0)</f>
        <v>0</v>
      </c>
      <c r="O16" s="225">
        <f t="shared" si="1"/>
        <v>0</v>
      </c>
      <c r="P16" s="223"/>
      <c r="Q16" s="225">
        <f>-IFERROR((INDEX(C16:M16, MATCH('1-Informations-paramètres '!C$50, $C$9:$M$9, 0)) - INDEX(C16:M16, MATCH('1-Informations-paramètres '!C$51, $C$9:$M$9, 0))) / INDEX(C16:F16, MATCH('1-Informations-paramètres '!C$50, $C$9:$M$9, 0)), "0")</f>
        <v>0</v>
      </c>
    </row>
    <row r="17" spans="1:17" x14ac:dyDescent="0.45">
      <c r="A17" s="120"/>
      <c r="B17" s="393"/>
      <c r="C17" s="64"/>
      <c r="D17" s="65"/>
      <c r="E17" s="65"/>
      <c r="F17" s="65"/>
      <c r="G17" s="344"/>
      <c r="H17" s="49">
        <f>IFERROR(F17+(VLOOKUP(G17,Scénario_Evolution,3,FALSE)*F17)+SUMIFS('3-Variations du fonctionnement'!$C$17:$C$26,'3-Variations du fonctionnement'!$B$17:$B$26,'2-Section de Fonctionnement'!A17),0)</f>
        <v>0</v>
      </c>
      <c r="I17" s="50">
        <f>IFERROR(H17+(VLOOKUP(G17,Scénario_Evolution,4,FALSE)*H17)+SUMIFS('3-Variations du fonctionnement'!$D$17:$D$26,'3-Variations du fonctionnement'!$B$17:$B$26,'2-Section de Fonctionnement'!A17),0)</f>
        <v>0</v>
      </c>
      <c r="J17" s="50">
        <f>IFERROR(I17+(VLOOKUP(G17,Scénario_Evolution,5,FALSE)*I17)+SUMIFS('3-Variations du fonctionnement'!$E$17:$E$26,'3-Variations du fonctionnement'!$B$17:$B$26,'2-Section de Fonctionnement'!A17),0)</f>
        <v>0</v>
      </c>
      <c r="K17" s="50">
        <f>IFERROR(J17+(VLOOKUP(G17,Scénario_Evolution,6,FALSE)*J17)+SUMIFS('3-Variations du fonctionnement'!$F$17:$F$26,'3-Variations du fonctionnement'!$B$17:$B$26,'2-Section de Fonctionnement'!A17),0)</f>
        <v>0</v>
      </c>
      <c r="L17" s="50">
        <f>IFERROR(K17+(VLOOKUP(G17,Scénario_Evolution,7,FALSE)*K17)+SUMIFS('3-Variations du fonctionnement'!$G$17:$G$26,'3-Variations du fonctionnement'!$B$17:$B$26,'2-Section de Fonctionnement'!A17),0)</f>
        <v>0</v>
      </c>
      <c r="M17" s="51">
        <f>IFERROR(L17+(VLOOKUP(G17,Scénario_Evolution,8,FALSE)*L17)+SUMIFS('3-Variations du fonctionnement'!$H$17:$H$26,'3-Variations du fonctionnement'!$B$17:$B$26,'2-Section de Fonctionnement'!A17),0)</f>
        <v>0</v>
      </c>
      <c r="O17" s="225">
        <f t="shared" si="1"/>
        <v>0</v>
      </c>
      <c r="P17" s="223"/>
      <c r="Q17" s="225">
        <f>-IFERROR((INDEX(C17:M17, MATCH('1-Informations-paramètres '!C$50, $C$9:$M$9, 0)) - INDEX(C17:M17, MATCH('1-Informations-paramètres '!C$51, $C$9:$M$9, 0))) / INDEX(C17:F17, MATCH('1-Informations-paramètres '!C$50, $C$9:$M$9, 0)), "0")</f>
        <v>0</v>
      </c>
    </row>
    <row r="18" spans="1:17" x14ac:dyDescent="0.45">
      <c r="A18" s="120"/>
      <c r="B18" s="393"/>
      <c r="C18" s="64"/>
      <c r="D18" s="65"/>
      <c r="E18" s="65"/>
      <c r="F18" s="65"/>
      <c r="G18" s="344"/>
      <c r="H18" s="49">
        <f>IFERROR(F18+(VLOOKUP(G18,Scénario_Evolution,3,FALSE)*F18)+SUMIFS('3-Variations du fonctionnement'!$C$17:$C$26,'3-Variations du fonctionnement'!$B$17:$B$26,'2-Section de Fonctionnement'!A18),0)</f>
        <v>0</v>
      </c>
      <c r="I18" s="50">
        <f>IFERROR(H18+(VLOOKUP(G18,Scénario_Evolution,4,FALSE)*H18)+SUMIFS('3-Variations du fonctionnement'!$D$17:$D$26,'3-Variations du fonctionnement'!$B$17:$B$26,'2-Section de Fonctionnement'!A18),0)</f>
        <v>0</v>
      </c>
      <c r="J18" s="50">
        <f>IFERROR(I18+(VLOOKUP(G18,Scénario_Evolution,5,FALSE)*I18)+SUMIFS('3-Variations du fonctionnement'!$E$17:$E$26,'3-Variations du fonctionnement'!$B$17:$B$26,'2-Section de Fonctionnement'!A18),0)</f>
        <v>0</v>
      </c>
      <c r="K18" s="50">
        <f>IFERROR(J18+(VLOOKUP(G18,Scénario_Evolution,6,FALSE)*J18)+SUMIFS('3-Variations du fonctionnement'!$F$17:$F$26,'3-Variations du fonctionnement'!$B$17:$B$26,'2-Section de Fonctionnement'!A18),0)</f>
        <v>0</v>
      </c>
      <c r="L18" s="50">
        <f>IFERROR(K18+(VLOOKUP(G18,Scénario_Evolution,7,FALSE)*K18)+SUMIFS('3-Variations du fonctionnement'!$G$17:$G$26,'3-Variations du fonctionnement'!$B$17:$B$26,'2-Section de Fonctionnement'!A18),0)</f>
        <v>0</v>
      </c>
      <c r="M18" s="51">
        <f>IFERROR(L18+(VLOOKUP(G18,Scénario_Evolution,8,FALSE)*L18)+SUMIFS('3-Variations du fonctionnement'!$H$17:$H$26,'3-Variations du fonctionnement'!$B$17:$B$26,'2-Section de Fonctionnement'!A18),0)</f>
        <v>0</v>
      </c>
      <c r="O18" s="225">
        <f t="shared" si="1"/>
        <v>0</v>
      </c>
      <c r="P18" s="223"/>
      <c r="Q18" s="225">
        <f>-IFERROR((INDEX(C18:M18, MATCH('1-Informations-paramètres '!C$50, $C$9:$M$9, 0)) - INDEX(C18:M18, MATCH('1-Informations-paramètres '!C$51, $C$9:$M$9, 0))) / INDEX(C18:F18, MATCH('1-Informations-paramètres '!C$50, $C$9:$M$9, 0)), "0")</f>
        <v>0</v>
      </c>
    </row>
    <row r="19" spans="1:17" x14ac:dyDescent="0.45">
      <c r="A19" s="120"/>
      <c r="B19" s="393"/>
      <c r="C19" s="64"/>
      <c r="D19" s="65"/>
      <c r="E19" s="65"/>
      <c r="F19" s="65"/>
      <c r="G19" s="344"/>
      <c r="H19" s="49">
        <f>IFERROR(F19+(VLOOKUP(G19,Scénario_Evolution,3,FALSE)*F19)+SUMIFS('3-Variations du fonctionnement'!$C$17:$C$26,'3-Variations du fonctionnement'!$B$17:$B$26,'2-Section de Fonctionnement'!A19),0)</f>
        <v>0</v>
      </c>
      <c r="I19" s="50">
        <f>IFERROR(H19+(VLOOKUP(G19,Scénario_Evolution,4,FALSE)*H19)+SUMIFS('3-Variations du fonctionnement'!$D$17:$D$26,'3-Variations du fonctionnement'!$B$17:$B$26,'2-Section de Fonctionnement'!A19),0)</f>
        <v>0</v>
      </c>
      <c r="J19" s="50">
        <f>IFERROR(I19+(VLOOKUP(G19,Scénario_Evolution,5,FALSE)*I19)+SUMIFS('3-Variations du fonctionnement'!$E$17:$E$26,'3-Variations du fonctionnement'!$B$17:$B$26,'2-Section de Fonctionnement'!A19),0)</f>
        <v>0</v>
      </c>
      <c r="K19" s="50">
        <f>IFERROR(J19+(VLOOKUP(G19,Scénario_Evolution,6,FALSE)*J19)+SUMIFS('3-Variations du fonctionnement'!$F$17:$F$26,'3-Variations du fonctionnement'!$B$17:$B$26,'2-Section de Fonctionnement'!A19),0)</f>
        <v>0</v>
      </c>
      <c r="L19" s="50">
        <f>IFERROR(K19+(VLOOKUP(G19,Scénario_Evolution,7,FALSE)*K19)+SUMIFS('3-Variations du fonctionnement'!$G$17:$G$26,'3-Variations du fonctionnement'!$B$17:$B$26,'2-Section de Fonctionnement'!A19),0)</f>
        <v>0</v>
      </c>
      <c r="M19" s="51">
        <f>IFERROR(L19+(VLOOKUP(G19,Scénario_Evolution,8,FALSE)*L19)+SUMIFS('3-Variations du fonctionnement'!$H$17:$H$26,'3-Variations du fonctionnement'!$B$17:$B$26,'2-Section de Fonctionnement'!A19),0)</f>
        <v>0</v>
      </c>
      <c r="O19" s="225">
        <f t="shared" si="1"/>
        <v>0</v>
      </c>
      <c r="P19" s="223"/>
      <c r="Q19" s="225">
        <f>-IFERROR((INDEX(C19:M19, MATCH('1-Informations-paramètres '!C$50, $C$9:$M$9, 0)) - INDEX(C19:M19, MATCH('1-Informations-paramètres '!C$51, $C$9:$M$9, 0))) / INDEX(C19:F19, MATCH('1-Informations-paramètres '!C$50, $C$9:$M$9, 0)), "0")</f>
        <v>0</v>
      </c>
    </row>
    <row r="20" spans="1:17" x14ac:dyDescent="0.45">
      <c r="A20" s="120"/>
      <c r="B20" s="393"/>
      <c r="C20" s="64"/>
      <c r="D20" s="65"/>
      <c r="E20" s="65"/>
      <c r="F20" s="65"/>
      <c r="G20" s="344"/>
      <c r="H20" s="49">
        <f>IFERROR(F20+(VLOOKUP(G20,Scénario_Evolution,3,FALSE)*F20)+SUMIFS('3-Variations du fonctionnement'!$C$17:$C$26,'3-Variations du fonctionnement'!$B$17:$B$26,'2-Section de Fonctionnement'!A20),0)</f>
        <v>0</v>
      </c>
      <c r="I20" s="50">
        <f>IFERROR(H20+(VLOOKUP(G20,Scénario_Evolution,4,FALSE)*H20)+SUMIFS('3-Variations du fonctionnement'!$D$17:$D$26,'3-Variations du fonctionnement'!$B$17:$B$26,'2-Section de Fonctionnement'!A20),0)</f>
        <v>0</v>
      </c>
      <c r="J20" s="50">
        <f>IFERROR(I20+(VLOOKUP(G20,Scénario_Evolution,5,FALSE)*I20)+SUMIFS('3-Variations du fonctionnement'!$E$17:$E$26,'3-Variations du fonctionnement'!$B$17:$B$26,'2-Section de Fonctionnement'!A20),0)</f>
        <v>0</v>
      </c>
      <c r="K20" s="50">
        <f>IFERROR(J20+(VLOOKUP(G20,Scénario_Evolution,6,FALSE)*J20)+SUMIFS('3-Variations du fonctionnement'!$F$17:$F$26,'3-Variations du fonctionnement'!$B$17:$B$26,'2-Section de Fonctionnement'!A20),0)</f>
        <v>0</v>
      </c>
      <c r="L20" s="50">
        <f>IFERROR(K20+(VLOOKUP(G20,Scénario_Evolution,7,FALSE)*K20)+SUMIFS('3-Variations du fonctionnement'!$G$17:$G$26,'3-Variations du fonctionnement'!$B$17:$B$26,'2-Section de Fonctionnement'!A20),0)</f>
        <v>0</v>
      </c>
      <c r="M20" s="51">
        <f>IFERROR(L20+(VLOOKUP(G20,Scénario_Evolution,8,FALSE)*L20)+SUMIFS('3-Variations du fonctionnement'!$H$17:$H$26,'3-Variations du fonctionnement'!$B$17:$B$26,'2-Section de Fonctionnement'!A20),0)</f>
        <v>0</v>
      </c>
      <c r="O20" s="225">
        <f t="shared" si="1"/>
        <v>0</v>
      </c>
      <c r="P20" s="223"/>
      <c r="Q20" s="225">
        <f>-IFERROR((INDEX(C20:M20, MATCH('1-Informations-paramètres '!C$50, $C$9:$M$9, 0)) - INDEX(C20:M20, MATCH('1-Informations-paramètres '!C$51, $C$9:$M$9, 0))) / INDEX(C20:F20, MATCH('1-Informations-paramètres '!C$50, $C$9:$M$9, 0)), "0")</f>
        <v>0</v>
      </c>
    </row>
    <row r="21" spans="1:17" x14ac:dyDescent="0.45">
      <c r="A21" s="120"/>
      <c r="B21" s="393"/>
      <c r="C21" s="64"/>
      <c r="D21" s="65"/>
      <c r="E21" s="65"/>
      <c r="F21" s="65"/>
      <c r="G21" s="344"/>
      <c r="H21" s="49">
        <f>IFERROR(F21+(VLOOKUP(G21,Scénario_Evolution,3,FALSE)*F21)+SUMIFS('3-Variations du fonctionnement'!$C$17:$C$26,'3-Variations du fonctionnement'!$B$17:$B$26,'2-Section de Fonctionnement'!A21),0)</f>
        <v>0</v>
      </c>
      <c r="I21" s="50">
        <f>IFERROR(H21+(VLOOKUP(G21,Scénario_Evolution,4,FALSE)*H21)+SUMIFS('3-Variations du fonctionnement'!$D$17:$D$26,'3-Variations du fonctionnement'!$B$17:$B$26,'2-Section de Fonctionnement'!A21),0)</f>
        <v>0</v>
      </c>
      <c r="J21" s="50">
        <f>IFERROR(I21+(VLOOKUP(G21,Scénario_Evolution,5,FALSE)*I21)+SUMIFS('3-Variations du fonctionnement'!$E$17:$E$26,'3-Variations du fonctionnement'!$B$17:$B$26,'2-Section de Fonctionnement'!A21),0)</f>
        <v>0</v>
      </c>
      <c r="K21" s="50">
        <f>IFERROR(J21+(VLOOKUP(G21,Scénario_Evolution,6,FALSE)*J21)+SUMIFS('3-Variations du fonctionnement'!$F$17:$F$26,'3-Variations du fonctionnement'!$B$17:$B$26,'2-Section de Fonctionnement'!A21),0)</f>
        <v>0</v>
      </c>
      <c r="L21" s="50">
        <f>IFERROR(K21+(VLOOKUP(G21,Scénario_Evolution,7,FALSE)*K21)+SUMIFS('3-Variations du fonctionnement'!$G$17:$G$26,'3-Variations du fonctionnement'!$B$17:$B$26,'2-Section de Fonctionnement'!A21),0)</f>
        <v>0</v>
      </c>
      <c r="M21" s="51">
        <f>IFERROR(L21+(VLOOKUP(G21,Scénario_Evolution,8,FALSE)*L21)+SUMIFS('3-Variations du fonctionnement'!$H$17:$H$26,'3-Variations du fonctionnement'!$B$17:$B$26,'2-Section de Fonctionnement'!A21),0)</f>
        <v>0</v>
      </c>
      <c r="O21" s="225">
        <f t="shared" si="1"/>
        <v>0</v>
      </c>
      <c r="P21" s="223"/>
      <c r="Q21" s="225">
        <f>-IFERROR((INDEX(C21:M21, MATCH('1-Informations-paramètres '!C$50, $C$9:$M$9, 0)) - INDEX(C21:M21, MATCH('1-Informations-paramètres '!C$51, $C$9:$M$9, 0))) / INDEX(C21:F21, MATCH('1-Informations-paramètres '!C$50, $C$9:$M$9, 0)), "0")</f>
        <v>0</v>
      </c>
    </row>
    <row r="22" spans="1:17" x14ac:dyDescent="0.45">
      <c r="A22" s="120"/>
      <c r="B22" s="393"/>
      <c r="C22" s="64"/>
      <c r="D22" s="65"/>
      <c r="E22" s="65"/>
      <c r="F22" s="65"/>
      <c r="G22" s="344"/>
      <c r="H22" s="49">
        <f>IFERROR(F22+(VLOOKUP(G22,Scénario_Evolution,3,FALSE)*F22)+SUMIFS('3-Variations du fonctionnement'!$C$17:$C$26,'3-Variations du fonctionnement'!$B$17:$B$26,'2-Section de Fonctionnement'!A22),0)</f>
        <v>0</v>
      </c>
      <c r="I22" s="50">
        <f>IFERROR(H22+(VLOOKUP(G22,Scénario_Evolution,4,FALSE)*H22)+SUMIFS('3-Variations du fonctionnement'!$D$17:$D$26,'3-Variations du fonctionnement'!$B$17:$B$26,'2-Section de Fonctionnement'!A22),0)</f>
        <v>0</v>
      </c>
      <c r="J22" s="50">
        <f>IFERROR(I22+(VLOOKUP(G22,Scénario_Evolution,5,FALSE)*I22)+SUMIFS('3-Variations du fonctionnement'!$E$17:$E$26,'3-Variations du fonctionnement'!$B$17:$B$26,'2-Section de Fonctionnement'!A22),0)</f>
        <v>0</v>
      </c>
      <c r="K22" s="50">
        <f>IFERROR(J22+(VLOOKUP(G22,Scénario_Evolution,6,FALSE)*J22)+SUMIFS('3-Variations du fonctionnement'!$F$17:$F$26,'3-Variations du fonctionnement'!$B$17:$B$26,'2-Section de Fonctionnement'!A22),0)</f>
        <v>0</v>
      </c>
      <c r="L22" s="50">
        <f>IFERROR(K22+(VLOOKUP(G22,Scénario_Evolution,7,FALSE)*K22)+SUMIFS('3-Variations du fonctionnement'!$G$17:$G$26,'3-Variations du fonctionnement'!$B$17:$B$26,'2-Section de Fonctionnement'!A22),0)</f>
        <v>0</v>
      </c>
      <c r="M22" s="51">
        <f>IFERROR(L22+(VLOOKUP(G22,Scénario_Evolution,8,FALSE)*L22)+SUMIFS('3-Variations du fonctionnement'!$H$17:$H$26,'3-Variations du fonctionnement'!$B$17:$B$26,'2-Section de Fonctionnement'!A22),0)</f>
        <v>0</v>
      </c>
      <c r="O22" s="225">
        <f t="shared" si="1"/>
        <v>0</v>
      </c>
      <c r="P22" s="223"/>
      <c r="Q22" s="225">
        <f>-IFERROR((INDEX(C22:M22, MATCH('1-Informations-paramètres '!C$50, $C$9:$M$9, 0)) - INDEX(C22:M22, MATCH('1-Informations-paramètres '!C$51, $C$9:$M$9, 0))) / INDEX(C22:F22, MATCH('1-Informations-paramètres '!C$50, $C$9:$M$9, 0)), "0")</f>
        <v>0</v>
      </c>
    </row>
    <row r="23" spans="1:17" x14ac:dyDescent="0.45">
      <c r="A23" s="120"/>
      <c r="B23" s="393"/>
      <c r="C23" s="64"/>
      <c r="D23" s="65"/>
      <c r="E23" s="65"/>
      <c r="F23" s="65"/>
      <c r="G23" s="344"/>
      <c r="H23" s="49">
        <f>IFERROR(F23+(VLOOKUP(G23,Scénario_Evolution,3,FALSE)*F23)+SUMIFS('3-Variations du fonctionnement'!$C$17:$C$26,'3-Variations du fonctionnement'!$B$17:$B$26,'2-Section de Fonctionnement'!A23),0)</f>
        <v>0</v>
      </c>
      <c r="I23" s="50">
        <f>IFERROR(H23+(VLOOKUP(G23,Scénario_Evolution,4,FALSE)*H23)+SUMIFS('3-Variations du fonctionnement'!$D$17:$D$26,'3-Variations du fonctionnement'!$B$17:$B$26,'2-Section de Fonctionnement'!A23),0)</f>
        <v>0</v>
      </c>
      <c r="J23" s="50">
        <f>IFERROR(I23+(VLOOKUP(G23,Scénario_Evolution,5,FALSE)*I23)+SUMIFS('3-Variations du fonctionnement'!$E$17:$E$26,'3-Variations du fonctionnement'!$B$17:$B$26,'2-Section de Fonctionnement'!A23),0)</f>
        <v>0</v>
      </c>
      <c r="K23" s="50">
        <f>IFERROR(J23+(VLOOKUP(G23,Scénario_Evolution,6,FALSE)*J23)+SUMIFS('3-Variations du fonctionnement'!$F$17:$F$26,'3-Variations du fonctionnement'!$B$17:$B$26,'2-Section de Fonctionnement'!A23),0)</f>
        <v>0</v>
      </c>
      <c r="L23" s="50">
        <f>IFERROR(K23+(VLOOKUP(G23,Scénario_Evolution,7,FALSE)*K23)+SUMIFS('3-Variations du fonctionnement'!$G$17:$G$26,'3-Variations du fonctionnement'!$B$17:$B$26,'2-Section de Fonctionnement'!A23),0)</f>
        <v>0</v>
      </c>
      <c r="M23" s="51">
        <f>IFERROR(L23+(VLOOKUP(G23,Scénario_Evolution,8,FALSE)*L23)+SUMIFS('3-Variations du fonctionnement'!$H$17:$H$26,'3-Variations du fonctionnement'!$B$17:$B$26,'2-Section de Fonctionnement'!A23),0)</f>
        <v>0</v>
      </c>
      <c r="O23" s="225">
        <f>IFERROR((F23-C23)/C23,0)</f>
        <v>0</v>
      </c>
      <c r="P23" s="223"/>
      <c r="Q23" s="225">
        <f>-IFERROR((INDEX(C23:M23, MATCH('1-Informations-paramètres '!C$50, $C$9:$M$9, 0)) - INDEX(C23:M23, MATCH('1-Informations-paramètres '!C$51, $C$9:$M$9, 0))) / INDEX(C23:F23, MATCH('1-Informations-paramètres '!C$50, $C$9:$M$9, 0)), "0")</f>
        <v>0</v>
      </c>
    </row>
    <row r="24" spans="1:17" x14ac:dyDescent="0.45">
      <c r="A24" s="120"/>
      <c r="B24" s="393"/>
      <c r="C24" s="64"/>
      <c r="D24" s="65"/>
      <c r="E24" s="65"/>
      <c r="F24" s="65"/>
      <c r="G24" s="344"/>
      <c r="H24" s="49">
        <f>IFERROR(F24+(VLOOKUP(G24,Scénario_Evolution,3,FALSE)*F24)+SUMIFS('3-Variations du fonctionnement'!$C$17:$C$26,'3-Variations du fonctionnement'!$B$17:$B$26,'2-Section de Fonctionnement'!A24),0)</f>
        <v>0</v>
      </c>
      <c r="I24" s="50">
        <f>IFERROR(H24+(VLOOKUP(G24,Scénario_Evolution,4,FALSE)*H24)+SUMIFS('3-Variations du fonctionnement'!$D$17:$D$26,'3-Variations du fonctionnement'!$B$17:$B$26,'2-Section de Fonctionnement'!A24),0)</f>
        <v>0</v>
      </c>
      <c r="J24" s="50">
        <f>IFERROR(I24+(VLOOKUP(G24,Scénario_Evolution,5,FALSE)*I24)+SUMIFS('3-Variations du fonctionnement'!$E$17:$E$26,'3-Variations du fonctionnement'!$B$17:$B$26,'2-Section de Fonctionnement'!A24),0)</f>
        <v>0</v>
      </c>
      <c r="K24" s="50">
        <f>IFERROR(J24+(VLOOKUP(G24,Scénario_Evolution,6,FALSE)*J24)+SUMIFS('3-Variations du fonctionnement'!$F$17:$F$26,'3-Variations du fonctionnement'!$B$17:$B$26,'2-Section de Fonctionnement'!A24),0)</f>
        <v>0</v>
      </c>
      <c r="L24" s="50">
        <f>IFERROR(K24+(VLOOKUP(G24,Scénario_Evolution,7,FALSE)*K24)+SUMIFS('3-Variations du fonctionnement'!$G$17:$G$26,'3-Variations du fonctionnement'!$B$17:$B$26,'2-Section de Fonctionnement'!A24),0)</f>
        <v>0</v>
      </c>
      <c r="M24" s="51">
        <f>IFERROR(L24+(VLOOKUP(G24,Scénario_Evolution,8,FALSE)*L24)+SUMIFS('3-Variations du fonctionnement'!$H$17:$H$26,'3-Variations du fonctionnement'!$B$17:$B$26,'2-Section de Fonctionnement'!A24),0)</f>
        <v>0</v>
      </c>
      <c r="O24" s="225">
        <f>IFERROR((F24-C24)/C24,0)</f>
        <v>0</v>
      </c>
      <c r="P24" s="223"/>
      <c r="Q24" s="225">
        <f>-IFERROR((INDEX(C24:M24, MATCH('1-Informations-paramètres '!C$50, $C$9:$M$9, 0)) - INDEX(C24:M24, MATCH('1-Informations-paramètres '!C$51, $C$9:$M$9, 0))) / INDEX(C24:F24, MATCH('1-Informations-paramètres '!C$50, $C$9:$M$9, 0)), "0")</f>
        <v>0</v>
      </c>
    </row>
    <row r="25" spans="1:17" x14ac:dyDescent="0.45">
      <c r="A25" s="120"/>
      <c r="B25" s="393"/>
      <c r="C25" s="64"/>
      <c r="D25" s="65"/>
      <c r="E25" s="65"/>
      <c r="F25" s="65"/>
      <c r="G25" s="344"/>
      <c r="H25" s="49">
        <f>IFERROR(F25+(VLOOKUP(G25,Scénario_Evolution,3,FALSE)*F25)+SUMIFS('3-Variations du fonctionnement'!$C$17:$C$26,'3-Variations du fonctionnement'!$B$17:$B$26,'2-Section de Fonctionnement'!A25),0)</f>
        <v>0</v>
      </c>
      <c r="I25" s="50">
        <f>IFERROR(H25+(VLOOKUP(G25,Scénario_Evolution,4,FALSE)*H25)+SUMIFS('3-Variations du fonctionnement'!$D$17:$D$26,'3-Variations du fonctionnement'!$B$17:$B$26,'2-Section de Fonctionnement'!A25),0)</f>
        <v>0</v>
      </c>
      <c r="J25" s="50">
        <f>IFERROR(I25+(VLOOKUP(G25,Scénario_Evolution,5,FALSE)*I25)+SUMIFS('3-Variations du fonctionnement'!$E$17:$E$26,'3-Variations du fonctionnement'!$B$17:$B$26,'2-Section de Fonctionnement'!A25),0)</f>
        <v>0</v>
      </c>
      <c r="K25" s="50">
        <f>IFERROR(J25+(VLOOKUP(G25,Scénario_Evolution,6,FALSE)*J25)+SUMIFS('3-Variations du fonctionnement'!$F$17:$F$26,'3-Variations du fonctionnement'!$B$17:$B$26,'2-Section de Fonctionnement'!A25),0)</f>
        <v>0</v>
      </c>
      <c r="L25" s="50">
        <f>IFERROR(K25+(VLOOKUP(G25,Scénario_Evolution,7,FALSE)*K25)+SUMIFS('3-Variations du fonctionnement'!$G$17:$G$26,'3-Variations du fonctionnement'!$B$17:$B$26,'2-Section de Fonctionnement'!A25),0)</f>
        <v>0</v>
      </c>
      <c r="M25" s="51">
        <f>IFERROR(L25+(VLOOKUP(G25,Scénario_Evolution,8,FALSE)*L25)+SUMIFS('3-Variations du fonctionnement'!$H$17:$H$26,'3-Variations du fonctionnement'!$B$17:$B$26,'2-Section de Fonctionnement'!A25),0)</f>
        <v>0</v>
      </c>
      <c r="O25" s="225">
        <f t="shared" si="1"/>
        <v>0</v>
      </c>
      <c r="P25" s="223"/>
      <c r="Q25" s="225">
        <f>-IFERROR((INDEX(C25:M25, MATCH('1-Informations-paramètres '!C$50, $C$9:$M$9, 0)) - INDEX(C25:M25, MATCH('1-Informations-paramètres '!C$51, $C$9:$M$9, 0))) / INDEX(C25:F25, MATCH('1-Informations-paramètres '!C$50, $C$9:$M$9, 0)), "0")</f>
        <v>0</v>
      </c>
    </row>
    <row r="26" spans="1:17" ht="16.5" thickBot="1" x14ac:dyDescent="0.5">
      <c r="A26" s="149" t="s">
        <v>11</v>
      </c>
      <c r="B26" s="394" t="s">
        <v>30</v>
      </c>
      <c r="C26" s="376">
        <f>C10-SUM(C11:C25)</f>
        <v>0</v>
      </c>
      <c r="D26" s="377">
        <f>D10-SUM(D11:D25)</f>
        <v>0</v>
      </c>
      <c r="E26" s="377">
        <f>E10-SUM(E11:E25)</f>
        <v>0</v>
      </c>
      <c r="F26" s="377">
        <f>F10-SUM(F11:F25)</f>
        <v>0</v>
      </c>
      <c r="G26" s="345"/>
      <c r="H26" s="376">
        <f>IFERROR(F26+(VLOOKUP(G26,Scénario_Evolution,3,FALSE)*F26)+SUMIFS('3-Variations du fonctionnement'!$C$17:$C$26,'3-Variations du fonctionnement'!$B$17:$B$26,'2-Section de Fonctionnement'!A26),0)</f>
        <v>0</v>
      </c>
      <c r="I26" s="377">
        <f>IFERROR(H26+(VLOOKUP(G26,Scénario_Evolution,4,FALSE)*H26)+SUMIFS('3-Variations du fonctionnement'!$D$17:$D$26,'3-Variations du fonctionnement'!$B$17:$B$26,'2-Section de Fonctionnement'!A26),0)</f>
        <v>0</v>
      </c>
      <c r="J26" s="377">
        <f>IFERROR(I26+(VLOOKUP(G26,Scénario_Evolution,5,FALSE)*I26)+SUMIFS('3-Variations du fonctionnement'!$E$17:$E$26,'3-Variations du fonctionnement'!$B$17:$B$26,'2-Section de Fonctionnement'!A26),0)</f>
        <v>0</v>
      </c>
      <c r="K26" s="377">
        <f>IFERROR(J26+(VLOOKUP(G26,Scénario_Evolution,6,FALSE)*J26)+SUMIFS('3-Variations du fonctionnement'!$F$17:$F$26,'3-Variations du fonctionnement'!$B$17:$B$26,'2-Section de Fonctionnement'!A26),0)</f>
        <v>0</v>
      </c>
      <c r="L26" s="377">
        <f>IFERROR(K26+(VLOOKUP(G26,Scénario_Evolution,7,FALSE)*K26)+SUMIFS('3-Variations du fonctionnement'!$G$17:$G$26,'3-Variations du fonctionnement'!$B$17:$B$26,'2-Section de Fonctionnement'!A26),0)</f>
        <v>0</v>
      </c>
      <c r="M26" s="378">
        <f>IFERROR(L26+(VLOOKUP(G26,Scénario_Evolution,8,FALSE)*L26)+SUMIFS('3-Variations du fonctionnement'!$H$17:$H$26,'3-Variations du fonctionnement'!$B$17:$B$26,'2-Section de Fonctionnement'!A26),0)</f>
        <v>0</v>
      </c>
      <c r="O26" s="226">
        <f t="shared" si="1"/>
        <v>0</v>
      </c>
      <c r="P26" s="223"/>
      <c r="Q26" s="226">
        <f>-IFERROR((INDEX(C26:M26, MATCH('1-Informations-paramètres '!C$50, $C$9:$M$9, 0)) - INDEX(C26:M26, MATCH('1-Informations-paramètres '!C$51, $C$9:$M$9, 0))) / INDEX(C26:F26, MATCH('1-Informations-paramètres '!C$50, $C$9:$M$9, 0)), "0")</f>
        <v>0</v>
      </c>
    </row>
    <row r="27" spans="1:17" ht="12" customHeight="1" thickBot="1" x14ac:dyDescent="0.5">
      <c r="A27" s="53"/>
      <c r="B27" s="53"/>
      <c r="C27" s="53"/>
      <c r="D27" s="53"/>
      <c r="E27" s="53"/>
      <c r="F27" s="53"/>
      <c r="G27" s="53"/>
      <c r="H27" s="53"/>
      <c r="I27" s="53"/>
      <c r="J27" s="53"/>
      <c r="K27" s="53"/>
      <c r="L27" s="53"/>
      <c r="M27" s="53"/>
      <c r="O27" s="48"/>
      <c r="Q27" s="48"/>
    </row>
    <row r="28" spans="1:17" ht="33.65" customHeight="1" x14ac:dyDescent="0.45">
      <c r="A28" s="187" t="s">
        <v>32</v>
      </c>
      <c r="B28" s="188" t="s">
        <v>101</v>
      </c>
      <c r="C28" s="285">
        <f>C9</f>
        <v>0</v>
      </c>
      <c r="D28" s="285">
        <f>C28+1</f>
        <v>1</v>
      </c>
      <c r="E28" s="285">
        <f>D28+1</f>
        <v>2</v>
      </c>
      <c r="F28" s="285">
        <f>E28+1</f>
        <v>3</v>
      </c>
      <c r="G28" s="538" t="s">
        <v>33</v>
      </c>
      <c r="H28" s="290">
        <f>F28+1</f>
        <v>4</v>
      </c>
      <c r="I28" s="285">
        <f>H28+1</f>
        <v>5</v>
      </c>
      <c r="J28" s="285">
        <f>I28+1</f>
        <v>6</v>
      </c>
      <c r="K28" s="285">
        <f>J28+1</f>
        <v>7</v>
      </c>
      <c r="L28" s="285">
        <f>K28+1</f>
        <v>8</v>
      </c>
      <c r="M28" s="291">
        <f>L28+1</f>
        <v>9</v>
      </c>
      <c r="O28" s="215" t="str">
        <f>O9</f>
        <v>Evolution 0/3</v>
      </c>
      <c r="Q28" s="215" t="str">
        <f>"Evolution " &amp;'1-Informations-paramètres '!C50 &amp;"/" &amp;'1-Informations-paramètres '!C51</f>
        <v>Evolution /</v>
      </c>
    </row>
    <row r="29" spans="1:17" ht="16.5" x14ac:dyDescent="0.45">
      <c r="A29" s="54" t="s">
        <v>34</v>
      </c>
      <c r="B29" s="55"/>
      <c r="C29" s="63"/>
      <c r="D29" s="63"/>
      <c r="E29" s="63"/>
      <c r="F29" s="63"/>
      <c r="G29" s="539"/>
      <c r="H29" s="45">
        <f t="shared" ref="H29:M29" si="2">SUM(H30:H44)</f>
        <v>0</v>
      </c>
      <c r="I29" s="46">
        <f t="shared" si="2"/>
        <v>0</v>
      </c>
      <c r="J29" s="46">
        <f t="shared" si="2"/>
        <v>0</v>
      </c>
      <c r="K29" s="46">
        <f t="shared" si="2"/>
        <v>0</v>
      </c>
      <c r="L29" s="46">
        <f t="shared" si="2"/>
        <v>0</v>
      </c>
      <c r="M29" s="47">
        <f t="shared" si="2"/>
        <v>0</v>
      </c>
      <c r="O29" s="91">
        <f t="shared" ref="O29:O44" si="3">IFERROR((F29-C29)/C29,0)</f>
        <v>0</v>
      </c>
      <c r="P29" s="223"/>
      <c r="Q29" s="91">
        <f>-IFERROR((INDEX(C29:M29, MATCH('1-Informations-paramètres '!C$50, $C$9:$M$9, 0)) - INDEX(C29:M29, MATCH('1-Informations-paramètres '!C$51, $C$9:$M$9, 0))) / INDEX(C29:F29, MATCH('1-Informations-paramètres '!C$50, $C$9:$M$9, 0)), "0")</f>
        <v>0</v>
      </c>
    </row>
    <row r="30" spans="1:17" x14ac:dyDescent="0.45">
      <c r="A30" s="343"/>
      <c r="B30" s="396"/>
      <c r="C30" s="65"/>
      <c r="D30" s="65"/>
      <c r="E30" s="65"/>
      <c r="F30" s="65"/>
      <c r="G30" s="344"/>
      <c r="H30" s="49">
        <f>IFERROR(F30+(VLOOKUP(G30,Scénario_Evolution,3,FALSE)*F30)+SUMIFS('3-Variations du fonctionnement'!$C$28:$C$37,'3-Variations du fonctionnement'!$B$28:$B$37,'2-Section de Fonctionnement'!A30),0)</f>
        <v>0</v>
      </c>
      <c r="I30" s="50">
        <f>IFERROR(H30+(VLOOKUP(G30,Scénario_Evolution,4,FALSE)*H30)+SUMIFS('3-Variations du fonctionnement'!$D$28:$D$37,'3-Variations du fonctionnement'!$B$28:$B$37,'2-Section de Fonctionnement'!A30),0)</f>
        <v>0</v>
      </c>
      <c r="J30" s="50">
        <f>IFERROR(I30+(VLOOKUP(G30,Scénario_Evolution,5,FALSE)*I30)+SUMIFS('3-Variations du fonctionnement'!$E$28:$E$37,'3-Variations du fonctionnement'!$B$28:$B$37,'2-Section de Fonctionnement'!A30),0)</f>
        <v>0</v>
      </c>
      <c r="K30" s="50">
        <f>IFERROR(J30+(VLOOKUP(G30,Scénario_Evolution,6,FALSE)*J30)+SUMIFS('3-Variations du fonctionnement'!$F$28:$F$37,'3-Variations du fonctionnement'!$B$28:$B$37,'2-Section de Fonctionnement'!A30),0)</f>
        <v>0</v>
      </c>
      <c r="L30" s="50">
        <f>IFERROR(K30+(VLOOKUP(G30,Scénario_Evolution,7,FALSE)*K30)+SUMIFS('3-Variations du fonctionnement'!$G$28:$G$37,'3-Variations du fonctionnement'!$B$28:$B$37,'2-Section de Fonctionnement'!A30),0)</f>
        <v>0</v>
      </c>
      <c r="M30" s="51">
        <f>IFERROR(L30+(VLOOKUP(G30,Scénario_Evolution,8,FALSE)*L30)+SUMIFS('3-Variations du fonctionnement'!$H$28:$H$37,'3-Variations du fonctionnement'!$B$28:$B$37,'2-Section de Fonctionnement'!A30),0)</f>
        <v>0</v>
      </c>
      <c r="O30" s="225">
        <f t="shared" si="3"/>
        <v>0</v>
      </c>
      <c r="P30" s="223"/>
      <c r="Q30" s="225">
        <f>-IFERROR((INDEX(C30:M30, MATCH('1-Informations-paramètres '!C$50, $C$9:$M$9, 0)) - INDEX(C30:M30, MATCH('1-Informations-paramètres '!C$51, $C$9:$M$9, 0))) / INDEX(C30:F30, MATCH('1-Informations-paramètres '!C$50, $C$9:$M$9, 0)), "0")</f>
        <v>0</v>
      </c>
    </row>
    <row r="31" spans="1:17" x14ac:dyDescent="0.45">
      <c r="A31" s="343"/>
      <c r="B31" s="396"/>
      <c r="C31" s="65"/>
      <c r="D31" s="65"/>
      <c r="E31" s="65"/>
      <c r="F31" s="65"/>
      <c r="G31" s="344"/>
      <c r="H31" s="49">
        <f>IFERROR(F31+(VLOOKUP(G31,Scénario_Evolution,3,FALSE)*F31)+SUMIFS('3-Variations du fonctionnement'!$C$28:$C$37,'3-Variations du fonctionnement'!$B$28:$B$37,'2-Section de Fonctionnement'!A31),0)</f>
        <v>0</v>
      </c>
      <c r="I31" s="50">
        <f>IFERROR(H31+(VLOOKUP(G31,Scénario_Evolution,4,FALSE)*H31)+SUMIFS('3-Variations du fonctionnement'!$D$28:$D$37,'3-Variations du fonctionnement'!$B$28:$B$37,'2-Section de Fonctionnement'!A31),0)</f>
        <v>0</v>
      </c>
      <c r="J31" s="50">
        <f>IFERROR(I31+(VLOOKUP(G31,Scénario_Evolution,5,FALSE)*I31)+SUMIFS('3-Variations du fonctionnement'!$E$28:$E$37,'3-Variations du fonctionnement'!$B$28:$B$37,'2-Section de Fonctionnement'!A31),0)</f>
        <v>0</v>
      </c>
      <c r="K31" s="50">
        <f>IFERROR(J31+(VLOOKUP(G31,Scénario_Evolution,6,FALSE)*J31)+SUMIFS('3-Variations du fonctionnement'!$F$28:$F$37,'3-Variations du fonctionnement'!$B$28:$B$37,'2-Section de Fonctionnement'!A31),0)</f>
        <v>0</v>
      </c>
      <c r="L31" s="50">
        <f>IFERROR(K31+(VLOOKUP(G31,Scénario_Evolution,7,FALSE)*K31)+SUMIFS('3-Variations du fonctionnement'!$G$28:$G$37,'3-Variations du fonctionnement'!$B$28:$B$37,'2-Section de Fonctionnement'!A31),0)</f>
        <v>0</v>
      </c>
      <c r="M31" s="51">
        <f>IFERROR(L31+(VLOOKUP(G31,Scénario_Evolution,8,FALSE)*L31)+SUMIFS('3-Variations du fonctionnement'!$H$28:$H$37,'3-Variations du fonctionnement'!$B$28:$B$37,'2-Section de Fonctionnement'!A31),0)</f>
        <v>0</v>
      </c>
      <c r="O31" s="225">
        <f t="shared" si="3"/>
        <v>0</v>
      </c>
      <c r="P31" s="223"/>
      <c r="Q31" s="225">
        <f>-IFERROR((INDEX(C31:M31, MATCH('1-Informations-paramètres '!C$50, $C$9:$M$9, 0)) - INDEX(C31:M31, MATCH('1-Informations-paramètres '!C$51, $C$9:$M$9, 0))) / INDEX(C31:F31, MATCH('1-Informations-paramètres '!C$50, $C$9:$M$9, 0)), "0")</f>
        <v>0</v>
      </c>
    </row>
    <row r="32" spans="1:17" x14ac:dyDescent="0.45">
      <c r="A32" s="343"/>
      <c r="B32" s="396"/>
      <c r="C32" s="65"/>
      <c r="D32" s="65"/>
      <c r="E32" s="65"/>
      <c r="F32" s="65"/>
      <c r="G32" s="344"/>
      <c r="H32" s="49">
        <f>IFERROR(F32+(VLOOKUP(G32,Scénario_Evolution,3,FALSE)*F32)+SUMIFS('3-Variations du fonctionnement'!$C$28:$C$37,'3-Variations du fonctionnement'!$B$28:$B$37,'2-Section de Fonctionnement'!A32),0)</f>
        <v>0</v>
      </c>
      <c r="I32" s="50">
        <f>IFERROR(H32+(VLOOKUP(G32,Scénario_Evolution,4,FALSE)*H32)+SUMIFS('3-Variations du fonctionnement'!$D$28:$D$37,'3-Variations du fonctionnement'!$B$28:$B$37,'2-Section de Fonctionnement'!A32),0)</f>
        <v>0</v>
      </c>
      <c r="J32" s="50">
        <f>IFERROR(I32+(VLOOKUP(G32,Scénario_Evolution,5,FALSE)*I32)+SUMIFS('3-Variations du fonctionnement'!$E$28:$E$37,'3-Variations du fonctionnement'!$B$28:$B$37,'2-Section de Fonctionnement'!A32),0)</f>
        <v>0</v>
      </c>
      <c r="K32" s="50">
        <f>IFERROR(J32+(VLOOKUP(G32,Scénario_Evolution,6,FALSE)*J32)+SUMIFS('3-Variations du fonctionnement'!$F$28:$F$37,'3-Variations du fonctionnement'!$B$28:$B$37,'2-Section de Fonctionnement'!A32),0)</f>
        <v>0</v>
      </c>
      <c r="L32" s="50">
        <f>IFERROR(K32+(VLOOKUP(G32,Scénario_Evolution,7,FALSE)*K32)+SUMIFS('3-Variations du fonctionnement'!$G$28:$G$37,'3-Variations du fonctionnement'!$B$28:$B$37,'2-Section de Fonctionnement'!A32),0)</f>
        <v>0</v>
      </c>
      <c r="M32" s="51">
        <f>IFERROR(L32+(VLOOKUP(G32,Scénario_Evolution,8,FALSE)*L32)+SUMIFS('3-Variations du fonctionnement'!$H$28:$H$37,'3-Variations du fonctionnement'!$B$28:$B$37,'2-Section de Fonctionnement'!A32),0)</f>
        <v>0</v>
      </c>
      <c r="O32" s="225">
        <f t="shared" si="3"/>
        <v>0</v>
      </c>
      <c r="P32" s="223"/>
      <c r="Q32" s="225">
        <f>-IFERROR((INDEX(C32:M32, MATCH('1-Informations-paramètres '!C$50, $C$9:$M$9, 0)) - INDEX(C32:M32, MATCH('1-Informations-paramètres '!C$51, $C$9:$M$9, 0))) / INDEX(C32:F32, MATCH('1-Informations-paramètres '!C$50, $C$9:$M$9, 0)), "0")</f>
        <v>0</v>
      </c>
    </row>
    <row r="33" spans="1:17" x14ac:dyDescent="0.45">
      <c r="A33" s="343"/>
      <c r="B33" s="396"/>
      <c r="C33" s="65"/>
      <c r="D33" s="65"/>
      <c r="E33" s="65"/>
      <c r="F33" s="65"/>
      <c r="G33" s="344"/>
      <c r="H33" s="49">
        <f>IFERROR(F33+(VLOOKUP(G33,Scénario_Evolution,3,FALSE)*F33)+SUMIFS('3-Variations du fonctionnement'!$C$28:$C$37,'3-Variations du fonctionnement'!$B$28:$B$37,'2-Section de Fonctionnement'!A33),0)</f>
        <v>0</v>
      </c>
      <c r="I33" s="50">
        <f>IFERROR(H33+(VLOOKUP(G33,Scénario_Evolution,4,FALSE)*H33)+SUMIFS('3-Variations du fonctionnement'!$D$28:$D$37,'3-Variations du fonctionnement'!$B$28:$B$37,'2-Section de Fonctionnement'!A33),0)</f>
        <v>0</v>
      </c>
      <c r="J33" s="50">
        <f>IFERROR(I33+(VLOOKUP(G33,Scénario_Evolution,5,FALSE)*I33)+SUMIFS('3-Variations du fonctionnement'!$E$28:$E$37,'3-Variations du fonctionnement'!$B$28:$B$37,'2-Section de Fonctionnement'!A33),0)</f>
        <v>0</v>
      </c>
      <c r="K33" s="50">
        <f>IFERROR(J33+(VLOOKUP(G33,Scénario_Evolution,6,FALSE)*J33)+SUMIFS('3-Variations du fonctionnement'!$F$28:$F$37,'3-Variations du fonctionnement'!$B$28:$B$37,'2-Section de Fonctionnement'!A33),0)</f>
        <v>0</v>
      </c>
      <c r="L33" s="50">
        <f>IFERROR(K33+(VLOOKUP(G33,Scénario_Evolution,7,FALSE)*K33)+SUMIFS('3-Variations du fonctionnement'!$G$28:$G$37,'3-Variations du fonctionnement'!$B$28:$B$37,'2-Section de Fonctionnement'!A33),0)</f>
        <v>0</v>
      </c>
      <c r="M33" s="51">
        <f>IFERROR(L33+(VLOOKUP(G33,Scénario_Evolution,8,FALSE)*L33)+SUMIFS('3-Variations du fonctionnement'!$H$28:$H$37,'3-Variations du fonctionnement'!$B$28:$B$37,'2-Section de Fonctionnement'!A33),0)</f>
        <v>0</v>
      </c>
      <c r="O33" s="225">
        <f t="shared" si="3"/>
        <v>0</v>
      </c>
      <c r="P33" s="223"/>
      <c r="Q33" s="225">
        <f>-IFERROR((INDEX(C33:M33, MATCH('1-Informations-paramètres '!C$50, $C$9:$M$9, 0)) - INDEX(C33:M33, MATCH('1-Informations-paramètres '!C$51, $C$9:$M$9, 0))) / INDEX(C33:F33, MATCH('1-Informations-paramètres '!C$50, $C$9:$M$9, 0)), "0")</f>
        <v>0</v>
      </c>
    </row>
    <row r="34" spans="1:17" x14ac:dyDescent="0.45">
      <c r="A34" s="343"/>
      <c r="B34" s="396"/>
      <c r="C34" s="65"/>
      <c r="D34" s="65"/>
      <c r="E34" s="65"/>
      <c r="F34" s="65"/>
      <c r="G34" s="344"/>
      <c r="H34" s="49">
        <f>IFERROR(F34+(VLOOKUP(G34,Scénario_Evolution,3,FALSE)*F34)+SUMIFS('3-Variations du fonctionnement'!$C$28:$C$37,'3-Variations du fonctionnement'!$B$28:$B$37,'2-Section de Fonctionnement'!A34),0)</f>
        <v>0</v>
      </c>
      <c r="I34" s="50">
        <f>IFERROR(H34+(VLOOKUP(G34,Scénario_Evolution,4,FALSE)*H34)+SUMIFS('3-Variations du fonctionnement'!$D$28:$D$37,'3-Variations du fonctionnement'!$B$28:$B$37,'2-Section de Fonctionnement'!A34),0)</f>
        <v>0</v>
      </c>
      <c r="J34" s="50">
        <f>IFERROR(I34+(VLOOKUP(G34,Scénario_Evolution,5,FALSE)*I34)+SUMIFS('3-Variations du fonctionnement'!$E$28:$E$37,'3-Variations du fonctionnement'!$B$28:$B$37,'2-Section de Fonctionnement'!A34),0)</f>
        <v>0</v>
      </c>
      <c r="K34" s="50">
        <f>IFERROR(J34+(VLOOKUP(G34,Scénario_Evolution,6,FALSE)*J34)+SUMIFS('3-Variations du fonctionnement'!$F$28:$F$37,'3-Variations du fonctionnement'!$B$28:$B$37,'2-Section de Fonctionnement'!A34),0)</f>
        <v>0</v>
      </c>
      <c r="L34" s="50">
        <f>IFERROR(K34+(VLOOKUP(G34,Scénario_Evolution,7,FALSE)*K34)+SUMIFS('3-Variations du fonctionnement'!$G$28:$G$37,'3-Variations du fonctionnement'!$B$28:$B$37,'2-Section de Fonctionnement'!A34),0)</f>
        <v>0</v>
      </c>
      <c r="M34" s="51">
        <f>IFERROR(L34+(VLOOKUP(G34,Scénario_Evolution,8,FALSE)*L34)+SUMIFS('3-Variations du fonctionnement'!$H$28:$H$37,'3-Variations du fonctionnement'!$B$28:$B$37,'2-Section de Fonctionnement'!A34),0)</f>
        <v>0</v>
      </c>
      <c r="O34" s="225">
        <f t="shared" si="3"/>
        <v>0</v>
      </c>
      <c r="P34" s="223"/>
      <c r="Q34" s="225">
        <f>-IFERROR((INDEX(C34:M34, MATCH('1-Informations-paramètres '!C$50, $C$9:$M$9, 0)) - INDEX(C34:M34, MATCH('1-Informations-paramètres '!C$51, $C$9:$M$9, 0))) / INDEX(C34:F34, MATCH('1-Informations-paramètres '!C$50, $C$9:$M$9, 0)), "0")</f>
        <v>0</v>
      </c>
    </row>
    <row r="35" spans="1:17" x14ac:dyDescent="0.45">
      <c r="A35" s="343"/>
      <c r="B35" s="396"/>
      <c r="C35" s="65"/>
      <c r="D35" s="65"/>
      <c r="E35" s="65"/>
      <c r="F35" s="65"/>
      <c r="G35" s="344"/>
      <c r="H35" s="49">
        <f>IFERROR(F35+(VLOOKUP(G35,Scénario_Evolution,3,FALSE)*F35)+SUMIFS('3-Variations du fonctionnement'!$C$28:$C$37,'3-Variations du fonctionnement'!$B$28:$B$37,'2-Section de Fonctionnement'!A35),0)</f>
        <v>0</v>
      </c>
      <c r="I35" s="50">
        <f>IFERROR(H35+(VLOOKUP(G35,Scénario_Evolution,4,FALSE)*H35)+SUMIFS('3-Variations du fonctionnement'!$D$28:$D$37,'3-Variations du fonctionnement'!$B$28:$B$37,'2-Section de Fonctionnement'!A35),0)</f>
        <v>0</v>
      </c>
      <c r="J35" s="50">
        <f>IFERROR(I35+(VLOOKUP(G35,Scénario_Evolution,5,FALSE)*I35)+SUMIFS('3-Variations du fonctionnement'!$E$28:$E$37,'3-Variations du fonctionnement'!$B$28:$B$37,'2-Section de Fonctionnement'!A35),0)</f>
        <v>0</v>
      </c>
      <c r="K35" s="50">
        <f>IFERROR(J35+(VLOOKUP(G35,Scénario_Evolution,6,FALSE)*J35)+SUMIFS('3-Variations du fonctionnement'!$F$28:$F$37,'3-Variations du fonctionnement'!$B$28:$B$37,'2-Section de Fonctionnement'!A35),0)</f>
        <v>0</v>
      </c>
      <c r="L35" s="50">
        <f>IFERROR(K35+(VLOOKUP(G35,Scénario_Evolution,7,FALSE)*K35)+SUMIFS('3-Variations du fonctionnement'!$G$28:$G$37,'3-Variations du fonctionnement'!$B$28:$B$37,'2-Section de Fonctionnement'!A35),0)</f>
        <v>0</v>
      </c>
      <c r="M35" s="51">
        <f>IFERROR(L35+(VLOOKUP(G35,Scénario_Evolution,8,FALSE)*L35)+SUMIFS('3-Variations du fonctionnement'!$H$28:$H$37,'3-Variations du fonctionnement'!$B$28:$B$37,'2-Section de Fonctionnement'!A35),0)</f>
        <v>0</v>
      </c>
      <c r="O35" s="225">
        <f t="shared" si="3"/>
        <v>0</v>
      </c>
      <c r="P35" s="223"/>
      <c r="Q35" s="225">
        <f>-IFERROR((INDEX(C35:M35, MATCH('1-Informations-paramètres '!C$50, $C$9:$M$9, 0)) - INDEX(C35:M35, MATCH('1-Informations-paramètres '!C$51, $C$9:$M$9, 0))) / INDEX(C35:F35, MATCH('1-Informations-paramètres '!C$50, $C$9:$M$9, 0)), "0")</f>
        <v>0</v>
      </c>
    </row>
    <row r="36" spans="1:17" x14ac:dyDescent="0.45">
      <c r="A36" s="343"/>
      <c r="B36" s="396"/>
      <c r="C36" s="126"/>
      <c r="D36" s="126"/>
      <c r="E36" s="126"/>
      <c r="F36" s="126"/>
      <c r="G36" s="344"/>
      <c r="H36" s="56">
        <f>IFERROR(F36+(VLOOKUP(G36,Scénario_Evolution,3,FALSE)*F36)+SUMIFS('3-Variations du fonctionnement'!$C$28:$C$37,'3-Variations du fonctionnement'!$B$28:$B$37,'2-Section de Fonctionnement'!A36),0)</f>
        <v>0</v>
      </c>
      <c r="I36" s="57">
        <f>IFERROR(H36+(VLOOKUP(G36,Scénario_Evolution,4,FALSE)*H36)+SUMIFS('3-Variations du fonctionnement'!$D$28:$D$37,'3-Variations du fonctionnement'!$B$28:$B$37,'2-Section de Fonctionnement'!A36),0)</f>
        <v>0</v>
      </c>
      <c r="J36" s="57">
        <f>IFERROR(I36+(VLOOKUP(G36,Scénario_Evolution,5,FALSE)*I36)+SUMIFS('3-Variations du fonctionnement'!$E$28:$E$37,'3-Variations du fonctionnement'!$B$28:$B$37,'2-Section de Fonctionnement'!A36),0)</f>
        <v>0</v>
      </c>
      <c r="K36" s="57">
        <f>IFERROR(J36+(VLOOKUP(G36,Scénario_Evolution,6,FALSE)*J36)+SUMIFS('3-Variations du fonctionnement'!$F$28:$F$37,'3-Variations du fonctionnement'!$B$28:$B$37,'2-Section de Fonctionnement'!A36),0)</f>
        <v>0</v>
      </c>
      <c r="L36" s="57">
        <f>IFERROR(K36+(VLOOKUP(G36,Scénario_Evolution,7,FALSE)*K36)+SUMIFS('3-Variations du fonctionnement'!$G$28:$G$37,'3-Variations du fonctionnement'!$B$28:$B$37,'2-Section de Fonctionnement'!A36),0)</f>
        <v>0</v>
      </c>
      <c r="M36" s="51">
        <f>IFERROR(L36+(VLOOKUP(G36,Scénario_Evolution,8,FALSE)*L36)+SUMIFS('3-Variations du fonctionnement'!$H$28:$H$37,'3-Variations du fonctionnement'!$B$28:$B$37,'2-Section de Fonctionnement'!A36),0)</f>
        <v>0</v>
      </c>
      <c r="O36" s="225">
        <f t="shared" si="3"/>
        <v>0</v>
      </c>
      <c r="P36" s="223"/>
      <c r="Q36" s="225">
        <f>-IFERROR((INDEX(C36:M36, MATCH('1-Informations-paramètres '!C$50, $C$9:$M$9, 0)) - INDEX(C36:M36, MATCH('1-Informations-paramètres '!C$51, $C$9:$M$9, 0))) / INDEX(C36:F36, MATCH('1-Informations-paramètres '!C$50, $C$9:$M$9, 0)), "0")</f>
        <v>0</v>
      </c>
    </row>
    <row r="37" spans="1:17" x14ac:dyDescent="0.45">
      <c r="A37" s="343"/>
      <c r="B37" s="396"/>
      <c r="C37" s="126"/>
      <c r="D37" s="126"/>
      <c r="E37" s="126"/>
      <c r="F37" s="126"/>
      <c r="G37" s="344"/>
      <c r="H37" s="56">
        <f>IFERROR(F37+(VLOOKUP(G37,Scénario_Evolution,3,FALSE)*F37)+SUMIFS('3-Variations du fonctionnement'!$C$28:$C$37,'3-Variations du fonctionnement'!$B$28:$B$37,'2-Section de Fonctionnement'!A37),0)</f>
        <v>0</v>
      </c>
      <c r="I37" s="57">
        <f>IFERROR(H37+(VLOOKUP(G37,Scénario_Evolution,4,FALSE)*H37)+SUMIFS('3-Variations du fonctionnement'!$D$28:$D$37,'3-Variations du fonctionnement'!$B$28:$B$37,'2-Section de Fonctionnement'!A37),0)</f>
        <v>0</v>
      </c>
      <c r="J37" s="57">
        <f>IFERROR(I37+(VLOOKUP(G37,Scénario_Evolution,5,FALSE)*I37)+SUMIFS('3-Variations du fonctionnement'!$E$28:$E$37,'3-Variations du fonctionnement'!$B$28:$B$37,'2-Section de Fonctionnement'!A37),0)</f>
        <v>0</v>
      </c>
      <c r="K37" s="57">
        <f>IFERROR(J37+(VLOOKUP(G37,Scénario_Evolution,6,FALSE)*J37)+SUMIFS('3-Variations du fonctionnement'!$F$28:$F$37,'3-Variations du fonctionnement'!$B$28:$B$37,'2-Section de Fonctionnement'!A37),0)</f>
        <v>0</v>
      </c>
      <c r="L37" s="57">
        <f>IFERROR(K37+(VLOOKUP(G37,Scénario_Evolution,7,FALSE)*K37)+SUMIFS('3-Variations du fonctionnement'!$G$28:$G$37,'3-Variations du fonctionnement'!$B$28:$B$37,'2-Section de Fonctionnement'!A37),0)</f>
        <v>0</v>
      </c>
      <c r="M37" s="51">
        <f>IFERROR(L37+(VLOOKUP(G37,Scénario_Evolution,8,FALSE)*L37)+SUMIFS('3-Variations du fonctionnement'!$H$28:$H$37,'3-Variations du fonctionnement'!$B$28:$B$37,'2-Section de Fonctionnement'!A37),0)</f>
        <v>0</v>
      </c>
      <c r="O37" s="225">
        <f t="shared" si="3"/>
        <v>0</v>
      </c>
      <c r="P37" s="223"/>
      <c r="Q37" s="225">
        <f>-IFERROR((INDEX(C37:M37, MATCH('1-Informations-paramètres '!C$50, $C$9:$M$9, 0)) - INDEX(C37:M37, MATCH('1-Informations-paramètres '!C$51, $C$9:$M$9, 0))) / INDEX(C37:F37, MATCH('1-Informations-paramètres '!C$50, $C$9:$M$9, 0)), "0")</f>
        <v>0</v>
      </c>
    </row>
    <row r="38" spans="1:17" x14ac:dyDescent="0.45">
      <c r="A38" s="343"/>
      <c r="B38" s="396"/>
      <c r="C38" s="126"/>
      <c r="D38" s="126"/>
      <c r="E38" s="126"/>
      <c r="F38" s="126"/>
      <c r="G38" s="344"/>
      <c r="H38" s="56">
        <f>IFERROR(F38+(VLOOKUP(G38,Scénario_Evolution,3,FALSE)*F38)+SUMIFS('3-Variations du fonctionnement'!$C$28:$C$37,'3-Variations du fonctionnement'!$B$28:$B$37,'2-Section de Fonctionnement'!A38),0)</f>
        <v>0</v>
      </c>
      <c r="I38" s="57">
        <f>IFERROR(H38+(VLOOKUP(G38,Scénario_Evolution,4,FALSE)*H38)+SUMIFS('3-Variations du fonctionnement'!$D$28:$D$37,'3-Variations du fonctionnement'!$B$28:$B$37,'2-Section de Fonctionnement'!A38),0)</f>
        <v>0</v>
      </c>
      <c r="J38" s="57">
        <f>IFERROR(I38+(VLOOKUP(G38,Scénario_Evolution,5,FALSE)*I38)+SUMIFS('3-Variations du fonctionnement'!$E$28:$E$37,'3-Variations du fonctionnement'!$B$28:$B$37,'2-Section de Fonctionnement'!A38),0)</f>
        <v>0</v>
      </c>
      <c r="K38" s="57">
        <f>IFERROR(J38+(VLOOKUP(G38,Scénario_Evolution,6,FALSE)*J38)+SUMIFS('3-Variations du fonctionnement'!$F$28:$F$37,'3-Variations du fonctionnement'!$B$28:$B$37,'2-Section de Fonctionnement'!A38),0)</f>
        <v>0</v>
      </c>
      <c r="L38" s="57">
        <f>IFERROR(K38+(VLOOKUP(G38,Scénario_Evolution,7,FALSE)*K38)+SUMIFS('3-Variations du fonctionnement'!$G$28:$G$37,'3-Variations du fonctionnement'!$B$28:$B$37,'2-Section de Fonctionnement'!A38),0)</f>
        <v>0</v>
      </c>
      <c r="M38" s="51">
        <f>IFERROR(L38+(VLOOKUP(G38,Scénario_Evolution,8,FALSE)*L38)+SUMIFS('3-Variations du fonctionnement'!$H$28:$H$37,'3-Variations du fonctionnement'!$B$28:$B$37,'2-Section de Fonctionnement'!A38),0)</f>
        <v>0</v>
      </c>
      <c r="O38" s="225">
        <f t="shared" si="3"/>
        <v>0</v>
      </c>
      <c r="P38" s="223"/>
      <c r="Q38" s="225">
        <f>-IFERROR((INDEX(C38:M38, MATCH('1-Informations-paramètres '!C$50, $C$9:$M$9, 0)) - INDEX(C38:M38, MATCH('1-Informations-paramètres '!C$51, $C$9:$M$9, 0))) / INDEX(C38:F38, MATCH('1-Informations-paramètres '!C$50, $C$9:$M$9, 0)), "0")</f>
        <v>0</v>
      </c>
    </row>
    <row r="39" spans="1:17" x14ac:dyDescent="0.45">
      <c r="A39" s="343"/>
      <c r="B39" s="396"/>
      <c r="C39" s="126"/>
      <c r="D39" s="126"/>
      <c r="E39" s="126"/>
      <c r="F39" s="126"/>
      <c r="G39" s="344"/>
      <c r="H39" s="56">
        <f>IFERROR(F39+(VLOOKUP(G39,Scénario_Evolution,3,FALSE)*F39)+SUMIFS('3-Variations du fonctionnement'!$C$28:$C$37,'3-Variations du fonctionnement'!$B$28:$B$37,'2-Section de Fonctionnement'!A39),0)</f>
        <v>0</v>
      </c>
      <c r="I39" s="57">
        <f>IFERROR(H39+(VLOOKUP(G39,Scénario_Evolution,4,FALSE)*H39)+SUMIFS('3-Variations du fonctionnement'!$D$28:$D$37,'3-Variations du fonctionnement'!$B$28:$B$37,'2-Section de Fonctionnement'!A39),0)</f>
        <v>0</v>
      </c>
      <c r="J39" s="57">
        <f>IFERROR(I39+(VLOOKUP(G39,Scénario_Evolution,5,FALSE)*I39)+SUMIFS('3-Variations du fonctionnement'!$E$28:$E$37,'3-Variations du fonctionnement'!$B$28:$B$37,'2-Section de Fonctionnement'!A39),0)</f>
        <v>0</v>
      </c>
      <c r="K39" s="57">
        <f>IFERROR(J39+(VLOOKUP(G39,Scénario_Evolution,6,FALSE)*J39)+SUMIFS('3-Variations du fonctionnement'!$F$28:$F$37,'3-Variations du fonctionnement'!$B$28:$B$37,'2-Section de Fonctionnement'!A39),0)</f>
        <v>0</v>
      </c>
      <c r="L39" s="57">
        <f>IFERROR(K39+(VLOOKUP(G39,Scénario_Evolution,7,FALSE)*K39)+SUMIFS('3-Variations du fonctionnement'!$G$28:$G$37,'3-Variations du fonctionnement'!$B$28:$B$37,'2-Section de Fonctionnement'!A39),0)</f>
        <v>0</v>
      </c>
      <c r="M39" s="51">
        <f>IFERROR(L39+(VLOOKUP(G39,Scénario_Evolution,8,FALSE)*L39)+SUMIFS('3-Variations du fonctionnement'!$H$28:$H$37,'3-Variations du fonctionnement'!$B$28:$B$37,'2-Section de Fonctionnement'!A39),0)</f>
        <v>0</v>
      </c>
      <c r="O39" s="225">
        <f t="shared" si="3"/>
        <v>0</v>
      </c>
      <c r="P39" s="223"/>
      <c r="Q39" s="225">
        <f>-IFERROR((INDEX(C39:M39, MATCH('1-Informations-paramètres '!C$50, $C$9:$M$9, 0)) - INDEX(C39:M39, MATCH('1-Informations-paramètres '!C$51, $C$9:$M$9, 0))) / INDEX(C39:F39, MATCH('1-Informations-paramètres '!C$50, $C$9:$M$9, 0)), "0")</f>
        <v>0</v>
      </c>
    </row>
    <row r="40" spans="1:17" x14ac:dyDescent="0.45">
      <c r="A40" s="343"/>
      <c r="B40" s="396"/>
      <c r="C40" s="126"/>
      <c r="D40" s="126"/>
      <c r="E40" s="126"/>
      <c r="F40" s="126"/>
      <c r="G40" s="344"/>
      <c r="H40" s="56">
        <f>IFERROR(F40+(VLOOKUP(G40,Scénario_Evolution,3,FALSE)*F40)+SUMIFS('3-Variations du fonctionnement'!$C$28:$C$37,'3-Variations du fonctionnement'!$B$28:$B$37,'2-Section de Fonctionnement'!A40),0)</f>
        <v>0</v>
      </c>
      <c r="I40" s="57">
        <f>IFERROR(H40+(VLOOKUP(G40,Scénario_Evolution,4,FALSE)*H40)+SUMIFS('3-Variations du fonctionnement'!$D$28:$D$37,'3-Variations du fonctionnement'!$B$28:$B$37,'2-Section de Fonctionnement'!A40),0)</f>
        <v>0</v>
      </c>
      <c r="J40" s="57">
        <f>IFERROR(I40+(VLOOKUP(G40,Scénario_Evolution,5,FALSE)*I40)+SUMIFS('3-Variations du fonctionnement'!$E$28:$E$37,'3-Variations du fonctionnement'!$B$28:$B$37,'2-Section de Fonctionnement'!A40),0)</f>
        <v>0</v>
      </c>
      <c r="K40" s="57">
        <f>IFERROR(J40+(VLOOKUP(G40,Scénario_Evolution,6,FALSE)*J40)+SUMIFS('3-Variations du fonctionnement'!$F$28:$F$37,'3-Variations du fonctionnement'!$B$28:$B$37,'2-Section de Fonctionnement'!A40),0)</f>
        <v>0</v>
      </c>
      <c r="L40" s="57">
        <f>IFERROR(K40+(VLOOKUP(G40,Scénario_Evolution,7,FALSE)*K40)+SUMIFS('3-Variations du fonctionnement'!$G$28:$G$37,'3-Variations du fonctionnement'!$B$28:$B$37,'2-Section de Fonctionnement'!A40),0)</f>
        <v>0</v>
      </c>
      <c r="M40" s="51">
        <f>IFERROR(L40+(VLOOKUP(G40,Scénario_Evolution,8,FALSE)*L40)+SUMIFS('3-Variations du fonctionnement'!$H$28:$H$37,'3-Variations du fonctionnement'!$B$28:$B$37,'2-Section de Fonctionnement'!A40),0)</f>
        <v>0</v>
      </c>
      <c r="O40" s="225">
        <f t="shared" si="3"/>
        <v>0</v>
      </c>
      <c r="P40" s="223"/>
      <c r="Q40" s="225">
        <f>-IFERROR((INDEX(C40:M40, MATCH('1-Informations-paramètres '!C$50, $C$9:$M$9, 0)) - INDEX(C40:M40, MATCH('1-Informations-paramètres '!C$51, $C$9:$M$9, 0))) / INDEX(C40:F40, MATCH('1-Informations-paramètres '!C$50, $C$9:$M$9, 0)), "0")</f>
        <v>0</v>
      </c>
    </row>
    <row r="41" spans="1:17" x14ac:dyDescent="0.45">
      <c r="A41" s="343"/>
      <c r="B41" s="396"/>
      <c r="C41" s="126"/>
      <c r="D41" s="126"/>
      <c r="E41" s="126"/>
      <c r="F41" s="126"/>
      <c r="G41" s="344"/>
      <c r="H41" s="56">
        <f>IFERROR(F41+(VLOOKUP(G41,Scénario_Evolution,3,FALSE)*F41)+SUMIFS('3-Variations du fonctionnement'!$C$28:$C$37,'3-Variations du fonctionnement'!$B$28:$B$37,'2-Section de Fonctionnement'!A41),0)</f>
        <v>0</v>
      </c>
      <c r="I41" s="57">
        <f>IFERROR(H41+(VLOOKUP(G41,Scénario_Evolution,4,FALSE)*H41)+SUMIFS('3-Variations du fonctionnement'!$D$28:$D$37,'3-Variations du fonctionnement'!$B$28:$B$37,'2-Section de Fonctionnement'!A41),0)</f>
        <v>0</v>
      </c>
      <c r="J41" s="57">
        <f>IFERROR(I41+(VLOOKUP(G41,Scénario_Evolution,5,FALSE)*I41)+SUMIFS('3-Variations du fonctionnement'!$E$28:$E$37,'3-Variations du fonctionnement'!$B$28:$B$37,'2-Section de Fonctionnement'!A41),0)</f>
        <v>0</v>
      </c>
      <c r="K41" s="57">
        <f>IFERROR(J41+(VLOOKUP(G41,Scénario_Evolution,6,FALSE)*J41)+SUMIFS('3-Variations du fonctionnement'!$F$28:$F$37,'3-Variations du fonctionnement'!$B$28:$B$37,'2-Section de Fonctionnement'!A41),0)</f>
        <v>0</v>
      </c>
      <c r="L41" s="57">
        <f>IFERROR(K41+(VLOOKUP(G41,Scénario_Evolution,7,FALSE)*K41)+SUMIFS('3-Variations du fonctionnement'!$G$28:$G$37,'3-Variations du fonctionnement'!$B$28:$B$37,'2-Section de Fonctionnement'!A41),0)</f>
        <v>0</v>
      </c>
      <c r="M41" s="51">
        <f>IFERROR(L41+(VLOOKUP(G41,Scénario_Evolution,8,FALSE)*L41)+SUMIFS('3-Variations du fonctionnement'!$H$28:$H$37,'3-Variations du fonctionnement'!$B$28:$B$37,'2-Section de Fonctionnement'!A41),0)</f>
        <v>0</v>
      </c>
      <c r="O41" s="225">
        <f t="shared" si="3"/>
        <v>0</v>
      </c>
      <c r="P41" s="223"/>
      <c r="Q41" s="225">
        <f>-IFERROR((INDEX(C41:M41, MATCH('1-Informations-paramètres '!C$50, $C$9:$M$9, 0)) - INDEX(C41:M41, MATCH('1-Informations-paramètres '!C$51, $C$9:$M$9, 0))) / INDEX(C41:F41, MATCH('1-Informations-paramètres '!C$50, $C$9:$M$9, 0)), "0")</f>
        <v>0</v>
      </c>
    </row>
    <row r="42" spans="1:17" x14ac:dyDescent="0.45">
      <c r="A42" s="343"/>
      <c r="B42" s="396"/>
      <c r="C42" s="126"/>
      <c r="D42" s="126"/>
      <c r="E42" s="126"/>
      <c r="F42" s="126"/>
      <c r="G42" s="344"/>
      <c r="H42" s="56">
        <f>IFERROR(F42+(VLOOKUP(G42,Scénario_Evolution,3,FALSE)*F42)+SUMIFS('3-Variations du fonctionnement'!$C$28:$C$37,'3-Variations du fonctionnement'!$B$28:$B$37,'2-Section de Fonctionnement'!A42),0)</f>
        <v>0</v>
      </c>
      <c r="I42" s="57">
        <f>IFERROR(H42+(VLOOKUP(G42,Scénario_Evolution,4,FALSE)*H42)+SUMIFS('3-Variations du fonctionnement'!$D$28:$D$37,'3-Variations du fonctionnement'!$B$28:$B$37,'2-Section de Fonctionnement'!A42),0)</f>
        <v>0</v>
      </c>
      <c r="J42" s="57">
        <f>IFERROR(I42+(VLOOKUP(G42,Scénario_Evolution,5,FALSE)*I42)+SUMIFS('3-Variations du fonctionnement'!$E$28:$E$37,'3-Variations du fonctionnement'!$B$28:$B$37,'2-Section de Fonctionnement'!A42),0)</f>
        <v>0</v>
      </c>
      <c r="K42" s="57">
        <f>IFERROR(J42+(VLOOKUP(G42,Scénario_Evolution,6,FALSE)*J42)+SUMIFS('3-Variations du fonctionnement'!$F$28:$F$37,'3-Variations du fonctionnement'!$B$28:$B$37,'2-Section de Fonctionnement'!A42),0)</f>
        <v>0</v>
      </c>
      <c r="L42" s="57">
        <f>IFERROR(K42+(VLOOKUP(G42,Scénario_Evolution,7,FALSE)*K42)+SUMIFS('3-Variations du fonctionnement'!$G$28:$G$37,'3-Variations du fonctionnement'!$B$28:$B$37,'2-Section de Fonctionnement'!A42),0)</f>
        <v>0</v>
      </c>
      <c r="M42" s="51">
        <f>IFERROR(L42+(VLOOKUP(G42,Scénario_Evolution,8,FALSE)*L42)+SUMIFS('3-Variations du fonctionnement'!$H$28:$H$37,'3-Variations du fonctionnement'!$B$28:$B$37,'2-Section de Fonctionnement'!A42),0)</f>
        <v>0</v>
      </c>
      <c r="O42" s="225">
        <f t="shared" si="3"/>
        <v>0</v>
      </c>
      <c r="P42" s="223"/>
      <c r="Q42" s="225">
        <f>-IFERROR((INDEX(C42:M42, MATCH('1-Informations-paramètres '!C$50, $C$9:$M$9, 0)) - INDEX(C42:M42, MATCH('1-Informations-paramètres '!C$51, $C$9:$M$9, 0))) / INDEX(C42:F42, MATCH('1-Informations-paramètres '!C$50, $C$9:$M$9, 0)), "0")</f>
        <v>0</v>
      </c>
    </row>
    <row r="43" spans="1:17" x14ac:dyDescent="0.45">
      <c r="A43" s="343"/>
      <c r="B43" s="396"/>
      <c r="C43" s="126"/>
      <c r="D43" s="126"/>
      <c r="E43" s="126"/>
      <c r="F43" s="126"/>
      <c r="G43" s="344"/>
      <c r="H43" s="56">
        <f>IFERROR(F43+(VLOOKUP(G43,Scénario_Evolution,3,FALSE)*F43)+SUMIFS('3-Variations du fonctionnement'!$C$28:$C$37,'3-Variations du fonctionnement'!$B$28:$B$37,'2-Section de Fonctionnement'!A43),0)</f>
        <v>0</v>
      </c>
      <c r="I43" s="57">
        <f>IFERROR(H43+(VLOOKUP(G43,Scénario_Evolution,4,FALSE)*H43)+SUMIFS('3-Variations du fonctionnement'!$D$28:$D$37,'3-Variations du fonctionnement'!$B$28:$B$37,'2-Section de Fonctionnement'!A43),0)</f>
        <v>0</v>
      </c>
      <c r="J43" s="57">
        <f>IFERROR(I43+(VLOOKUP(G43,Scénario_Evolution,5,FALSE)*I43)+SUMIFS('3-Variations du fonctionnement'!$E$28:$E$37,'3-Variations du fonctionnement'!$B$28:$B$37,'2-Section de Fonctionnement'!A43),0)</f>
        <v>0</v>
      </c>
      <c r="K43" s="57">
        <f>IFERROR(J43+(VLOOKUP(G43,Scénario_Evolution,6,FALSE)*J43)+SUMIFS('3-Variations du fonctionnement'!$F$28:$F$37,'3-Variations du fonctionnement'!$B$28:$B$37,'2-Section de Fonctionnement'!A43),0)</f>
        <v>0</v>
      </c>
      <c r="L43" s="57">
        <f>IFERROR(K43+(VLOOKUP(G43,Scénario_Evolution,7,FALSE)*K43)+SUMIFS('3-Variations du fonctionnement'!$G$28:$G$37,'3-Variations du fonctionnement'!$B$28:$B$37,'2-Section de Fonctionnement'!A43),0)</f>
        <v>0</v>
      </c>
      <c r="M43" s="51">
        <f>IFERROR(L43+(VLOOKUP(G43,Scénario_Evolution,8,FALSE)*L43)+SUMIFS('3-Variations du fonctionnement'!$H$28:$H$37,'3-Variations du fonctionnement'!$B$28:$B$37,'2-Section de Fonctionnement'!A43),0)</f>
        <v>0</v>
      </c>
      <c r="O43" s="225">
        <f t="shared" si="3"/>
        <v>0</v>
      </c>
      <c r="P43" s="223"/>
      <c r="Q43" s="225">
        <f>-IFERROR((INDEX(C43:M43, MATCH('1-Informations-paramètres '!C$50, $C$9:$M$9, 0)) - INDEX(C43:M43, MATCH('1-Informations-paramètres '!C$51, $C$9:$M$9, 0))) / INDEX(C43:F43, MATCH('1-Informations-paramètres '!C$50, $C$9:$M$9, 0)), "0")</f>
        <v>0</v>
      </c>
    </row>
    <row r="44" spans="1:17" ht="16.5" thickBot="1" x14ac:dyDescent="0.5">
      <c r="A44" s="149" t="s">
        <v>12</v>
      </c>
      <c r="B44" s="395"/>
      <c r="C44" s="377">
        <f>C29-SUM(C30:C43)</f>
        <v>0</v>
      </c>
      <c r="D44" s="377">
        <f>D29-SUM(D30:D43)</f>
        <v>0</v>
      </c>
      <c r="E44" s="377">
        <f>E29-SUM(E30:E43)</f>
        <v>0</v>
      </c>
      <c r="F44" s="377">
        <f>F29-SUM(F30:F43)</f>
        <v>0</v>
      </c>
      <c r="G44" s="345"/>
      <c r="H44" s="376">
        <f>IFERROR(F44+(VLOOKUP(G44,Scénario_Evolution,3,FALSE)*F44)+SUMIFS('3-Variations du fonctionnement'!$C$28:$C$37,'3-Variations du fonctionnement'!$B$28:$B$37,'2-Section de Fonctionnement'!A44),0)</f>
        <v>0</v>
      </c>
      <c r="I44" s="377">
        <f>IFERROR(H44+(VLOOKUP(G44,Scénario_Evolution,4,FALSE)*H44)+SUMIFS('3-Variations du fonctionnement'!$D$28:$D$37,'3-Variations du fonctionnement'!$B$28:$B$37,'2-Section de Fonctionnement'!A44),0)</f>
        <v>0</v>
      </c>
      <c r="J44" s="377">
        <f>IFERROR(I44+(VLOOKUP(G44,Scénario_Evolution,5,FALSE)*I44)+SUMIFS('3-Variations du fonctionnement'!$E$28:$E$37,'3-Variations du fonctionnement'!$B$28:$B$37,'2-Section de Fonctionnement'!A44),0)</f>
        <v>0</v>
      </c>
      <c r="K44" s="377">
        <f>IFERROR(J44+(VLOOKUP(G44,Scénario_Evolution,6,FALSE)*J44)+SUMIFS('3-Variations du fonctionnement'!$F$28:$F$37,'3-Variations du fonctionnement'!$B$28:$B$37,'2-Section de Fonctionnement'!A44),0)</f>
        <v>0</v>
      </c>
      <c r="L44" s="377">
        <f>IFERROR(K44+(VLOOKUP(G44,Scénario_Evolution,7,FALSE)*K44)+SUMIFS('3-Variations du fonctionnement'!$G$28:$G$37,'3-Variations du fonctionnement'!$B$28:$B$37,'2-Section de Fonctionnement'!A44),0)</f>
        <v>0</v>
      </c>
      <c r="M44" s="379">
        <f>IFERROR(L44+(VLOOKUP(G44,Scénario_Evolution,8,FALSE)*L44)+SUMIFS('3-Variations du fonctionnement'!$H$28:$H$37,'3-Variations du fonctionnement'!$B$28:$B$37,'2-Section de Fonctionnement'!A44),0)</f>
        <v>0</v>
      </c>
      <c r="O44" s="226">
        <f t="shared" si="3"/>
        <v>0</v>
      </c>
      <c r="P44" s="223"/>
      <c r="Q44" s="226">
        <f>-IFERROR((INDEX(C44:M44, MATCH('1-Informations-paramètres '!C$50, $C$9:$M$9, 0)) - INDEX(C44:M44, MATCH('1-Informations-paramètres '!C$51, $C$9:$M$9, 0))) / INDEX(C44:F44, MATCH('1-Informations-paramètres '!C$50, $C$9:$M$9, 0)), "0")</f>
        <v>0</v>
      </c>
    </row>
    <row r="45" spans="1:17" ht="16.5" thickBot="1" x14ac:dyDescent="0.5">
      <c r="O45" s="48"/>
      <c r="Q45" s="48"/>
    </row>
    <row r="46" spans="1:17" ht="32" x14ac:dyDescent="0.45">
      <c r="A46" s="526" t="s">
        <v>105</v>
      </c>
      <c r="B46" s="527"/>
      <c r="C46" s="193">
        <f>C28</f>
        <v>0</v>
      </c>
      <c r="D46" s="193">
        <f>C46+1</f>
        <v>1</v>
      </c>
      <c r="E46" s="193">
        <f>D46+1</f>
        <v>2</v>
      </c>
      <c r="F46" s="194">
        <f>E46+1</f>
        <v>3</v>
      </c>
      <c r="H46" s="195">
        <f>F46+1</f>
        <v>4</v>
      </c>
      <c r="I46" s="193">
        <f>H46+1</f>
        <v>5</v>
      </c>
      <c r="J46" s="193">
        <f>I46+1</f>
        <v>6</v>
      </c>
      <c r="K46" s="193">
        <f>J46+1</f>
        <v>7</v>
      </c>
      <c r="L46" s="193">
        <f>K46+1</f>
        <v>8</v>
      </c>
      <c r="M46" s="194">
        <f>L46+1</f>
        <v>9</v>
      </c>
      <c r="O46" s="216" t="str">
        <f>O28</f>
        <v>Evolution 0/3</v>
      </c>
      <c r="Q46" s="216" t="str">
        <f>"Evolution " &amp;'1-Informations-paramètres '!C50 &amp;"/" &amp;'1-Informations-paramètres '!C51</f>
        <v>Evolution /</v>
      </c>
    </row>
    <row r="47" spans="1:17" x14ac:dyDescent="0.45">
      <c r="A47" s="532" t="s">
        <v>35</v>
      </c>
      <c r="B47" s="533"/>
      <c r="C47" s="59">
        <f t="shared" ref="C47:M47" si="4">C29-C10</f>
        <v>0</v>
      </c>
      <c r="D47" s="59">
        <f t="shared" si="4"/>
        <v>0</v>
      </c>
      <c r="E47" s="59">
        <f t="shared" si="4"/>
        <v>0</v>
      </c>
      <c r="F47" s="60">
        <f t="shared" si="4"/>
        <v>0</v>
      </c>
      <c r="G47" s="41"/>
      <c r="H47" s="58">
        <f t="shared" si="4"/>
        <v>0</v>
      </c>
      <c r="I47" s="59">
        <f t="shared" si="4"/>
        <v>0</v>
      </c>
      <c r="J47" s="59">
        <f t="shared" si="4"/>
        <v>0</v>
      </c>
      <c r="K47" s="59">
        <f t="shared" si="4"/>
        <v>0</v>
      </c>
      <c r="L47" s="59">
        <f t="shared" si="4"/>
        <v>0</v>
      </c>
      <c r="M47" s="60">
        <f t="shared" si="4"/>
        <v>0</v>
      </c>
      <c r="O47" s="91">
        <f>IFERROR((F47-C47)/C47,0)</f>
        <v>0</v>
      </c>
      <c r="P47" s="223"/>
      <c r="Q47" s="91">
        <f>-IFERROR((INDEX(C47:M47, MATCH('1-Informations-paramètres '!C$50, $C$9:$M$9, 0)) - INDEX(C47:M47, MATCH('1-Informations-paramètres '!C$51, $C$9:$M$9, 0))) / INDEX(C47:F47, MATCH('1-Informations-paramètres '!C$50, $C$9:$M$9, 0)), "0")</f>
        <v>0</v>
      </c>
    </row>
    <row r="48" spans="1:17" x14ac:dyDescent="0.45">
      <c r="A48" s="534" t="s">
        <v>133</v>
      </c>
      <c r="B48" s="535"/>
      <c r="C48" s="57">
        <f>C47+SUMIFS(C11:C26,$B$11:$B$26,"Non")-SUMIFS(C30:C44,$B$30:$B$44,"Non")</f>
        <v>0</v>
      </c>
      <c r="D48" s="57">
        <f>D47+SUMIFS(D11:D26,$B$11:$B$26,"Non")-SUMIFS(D30:D44,$B$30:$B$44,"Non")</f>
        <v>0</v>
      </c>
      <c r="E48" s="57">
        <f>E47+SUMIFS(E11:E26,$B$11:$B$26,"Non")-SUMIFS(E30:E44,$B$30:$B$44,"Non")</f>
        <v>0</v>
      </c>
      <c r="F48" s="51">
        <f>F47+SUMIFS(F11:F26,$B$11:$B$26,"Non")-SUMIFS(F30:F44,$B$30:$B$44,"Non")</f>
        <v>0</v>
      </c>
      <c r="G48" s="41"/>
      <c r="H48" s="61">
        <f t="shared" ref="H48:M48" si="5">H47+SUMIFS(H11:H26,$B$11:$B$26,"Non")-SUMIFS(H30:H44,$B$30:$B$44,"Non")</f>
        <v>0</v>
      </c>
      <c r="I48" s="57">
        <f t="shared" si="5"/>
        <v>0</v>
      </c>
      <c r="J48" s="57">
        <f t="shared" si="5"/>
        <v>0</v>
      </c>
      <c r="K48" s="57">
        <f t="shared" si="5"/>
        <v>0</v>
      </c>
      <c r="L48" s="57">
        <f t="shared" si="5"/>
        <v>0</v>
      </c>
      <c r="M48" s="51">
        <f t="shared" si="5"/>
        <v>0</v>
      </c>
      <c r="O48" s="225">
        <f>IFERROR((F48-C48)/C48,0)</f>
        <v>0</v>
      </c>
      <c r="P48" s="223"/>
      <c r="Q48" s="225">
        <f>-IFERROR((INDEX(C48:M48, MATCH('1-Informations-paramètres '!C$50, $C$9:$M$9, 0)) - INDEX(C48:M48, MATCH('1-Informations-paramètres '!C$51, $C$9:$M$9, 0))) / INDEX(C48:F48, MATCH('1-Informations-paramètres '!C$50, $C$9:$M$9, 0)), "0")</f>
        <v>0</v>
      </c>
    </row>
    <row r="49" spans="1:17" x14ac:dyDescent="0.45">
      <c r="A49" s="534" t="s">
        <v>131</v>
      </c>
      <c r="B49" s="535"/>
      <c r="C49" s="57">
        <f>C47-'5-Recours à la dette '!B6</f>
        <v>0</v>
      </c>
      <c r="D49" s="57">
        <f>D47-'5-Recours à la dette '!C6</f>
        <v>0</v>
      </c>
      <c r="E49" s="57">
        <f>E47-'5-Recours à la dette '!D6</f>
        <v>0</v>
      </c>
      <c r="F49" s="51">
        <f>F47-'5-Recours à la dette '!E6</f>
        <v>0</v>
      </c>
      <c r="G49" s="41"/>
      <c r="H49" s="61">
        <f>H47-'4-Section d''Investissement'!G16</f>
        <v>0</v>
      </c>
      <c r="I49" s="57">
        <f>I47-'4-Section d''Investissement'!H16</f>
        <v>0</v>
      </c>
      <c r="J49" s="57">
        <f>J47-'4-Section d''Investissement'!I16</f>
        <v>0</v>
      </c>
      <c r="K49" s="57">
        <f>K47-'4-Section d''Investissement'!J16</f>
        <v>0</v>
      </c>
      <c r="L49" s="57">
        <f>L47-'4-Section d''Investissement'!K16</f>
        <v>0</v>
      </c>
      <c r="M49" s="51">
        <f>M47-'4-Section d''Investissement'!L16</f>
        <v>0</v>
      </c>
      <c r="O49" s="225">
        <f>IFERROR((F49-C49)/C49,0)</f>
        <v>0</v>
      </c>
      <c r="P49" s="223"/>
      <c r="Q49" s="225">
        <f>-IFERROR((INDEX(C49:M49, MATCH('1-Informations-paramètres '!C$50, $C$9:$M$9, 0)) - INDEX(C49:M49, MATCH('1-Informations-paramètres '!C$51, $C$9:$M$9, 0))) / INDEX(C49:F49, MATCH('1-Informations-paramètres '!C$50, $C$9:$M$9, 0)), "0")</f>
        <v>0</v>
      </c>
    </row>
    <row r="50" spans="1:17" x14ac:dyDescent="0.45">
      <c r="A50" s="534" t="s">
        <v>132</v>
      </c>
      <c r="B50" s="535"/>
      <c r="C50" s="418">
        <f>C49+SUMIFS(C11:C26,$B$11:$B$26,"Non")-SUMIFS(C30:C44,$B$30:$B$44,"Non")</f>
        <v>0</v>
      </c>
      <c r="D50" s="418">
        <f>D49+SUMIFS(D11:D26,$B$11:$B$26,"Non")-SUMIFS(D30:D44,$B$30:$B$44,"Non")</f>
        <v>0</v>
      </c>
      <c r="E50" s="418">
        <f>E49+SUMIFS(E11:E26,$B$11:$B$26,"Non")-SUMIFS(E30:E44,$B$30:$B$44,"Non")</f>
        <v>0</v>
      </c>
      <c r="F50" s="419">
        <f>F49+SUMIFS(F11:F26,$B$11:$B$26,"Non")-SUMIFS(F30:F44,$B$30:$B$44,"Non")</f>
        <v>0</v>
      </c>
      <c r="G50" s="41"/>
      <c r="H50" s="420">
        <f t="shared" ref="H50:M50" si="6">H49+SUMIFS(H11:H26,$B$11:$B$26,"Non")-SUMIFS(H30:H44,$B$30:$B$44,"Non")</f>
        <v>0</v>
      </c>
      <c r="I50" s="418">
        <f t="shared" si="6"/>
        <v>0</v>
      </c>
      <c r="J50" s="418">
        <f t="shared" si="6"/>
        <v>0</v>
      </c>
      <c r="K50" s="418">
        <f t="shared" si="6"/>
        <v>0</v>
      </c>
      <c r="L50" s="418">
        <f t="shared" si="6"/>
        <v>0</v>
      </c>
      <c r="M50" s="419">
        <f t="shared" si="6"/>
        <v>0</v>
      </c>
      <c r="O50" s="421"/>
      <c r="P50" s="223"/>
      <c r="Q50" s="421"/>
    </row>
    <row r="51" spans="1:17" ht="16.5" thickBot="1" x14ac:dyDescent="0.5">
      <c r="A51" s="524" t="s">
        <v>36</v>
      </c>
      <c r="B51" s="525"/>
      <c r="C51" s="220">
        <f>IFERROR(C48/C29,0)</f>
        <v>0</v>
      </c>
      <c r="D51" s="221">
        <f>IFERROR(D48/D29,0)</f>
        <v>0</v>
      </c>
      <c r="E51" s="221">
        <f>IFERROR(E48/E29,0)</f>
        <v>0</v>
      </c>
      <c r="F51" s="222">
        <f>IFERROR(F48/F29,0)</f>
        <v>0</v>
      </c>
      <c r="G51" s="223"/>
      <c r="H51" s="224">
        <f t="shared" ref="H51:M51" si="7">IFERROR(H48/H29,0)</f>
        <v>0</v>
      </c>
      <c r="I51" s="221">
        <f t="shared" si="7"/>
        <v>0</v>
      </c>
      <c r="J51" s="221">
        <f t="shared" si="7"/>
        <v>0</v>
      </c>
      <c r="K51" s="221">
        <f t="shared" si="7"/>
        <v>0</v>
      </c>
      <c r="L51" s="221">
        <f t="shared" si="7"/>
        <v>0</v>
      </c>
      <c r="M51" s="222">
        <f t="shared" si="7"/>
        <v>0</v>
      </c>
      <c r="O51" s="226">
        <f>IFERROR((F51-C51)/C51,0)</f>
        <v>0</v>
      </c>
      <c r="P51" s="223"/>
      <c r="Q51" s="226">
        <f>-IFERROR((INDEX(C51:M51, MATCH('1-Informations-paramètres '!C$50, $C$9:$M$9, 0)) - INDEX(C51:M51, MATCH('1-Informations-paramètres '!C$51, $C$9:$M$9, 0))) / INDEX(C51:F51, MATCH('1-Informations-paramètres '!C$50, $C$9:$M$9, 0)), "0")</f>
        <v>0</v>
      </c>
    </row>
    <row r="52" spans="1:17" x14ac:dyDescent="0.45">
      <c r="Q52" s="48"/>
    </row>
    <row r="53" spans="1:17" ht="15" customHeight="1" x14ac:dyDescent="0.45">
      <c r="A53" s="523" t="s">
        <v>163</v>
      </c>
      <c r="B53" s="523"/>
      <c r="C53" s="460">
        <f>'4-Section d''Investissement'!B16</f>
        <v>0</v>
      </c>
      <c r="D53" s="460">
        <f>'4-Section d''Investissement'!C16</f>
        <v>0</v>
      </c>
      <c r="E53" s="460">
        <f>'4-Section d''Investissement'!D16</f>
        <v>0</v>
      </c>
      <c r="F53" s="460">
        <f>'4-Section d''Investissement'!E16</f>
        <v>0</v>
      </c>
      <c r="H53" s="460">
        <f>'4-Section d''Investissement'!G16</f>
        <v>0</v>
      </c>
      <c r="I53" s="460">
        <f>'4-Section d''Investissement'!H16</f>
        <v>0</v>
      </c>
      <c r="J53" s="460">
        <f>'4-Section d''Investissement'!I16</f>
        <v>0</v>
      </c>
      <c r="K53" s="460">
        <f>'4-Section d''Investissement'!J16</f>
        <v>0</v>
      </c>
      <c r="L53" s="460">
        <f>'4-Section d''Investissement'!K16</f>
        <v>0</v>
      </c>
      <c r="M53" s="460">
        <f>'4-Section d''Investissement'!L16</f>
        <v>0</v>
      </c>
      <c r="Q53" s="48"/>
    </row>
    <row r="54" spans="1:17" x14ac:dyDescent="0.45">
      <c r="B54" s="339"/>
    </row>
    <row r="55" spans="1:17" x14ac:dyDescent="0.45">
      <c r="E55" s="41"/>
    </row>
    <row r="57" spans="1:17" hidden="1" x14ac:dyDescent="0.45"/>
    <row r="58" spans="1:17" hidden="1" x14ac:dyDescent="0.45"/>
  </sheetData>
  <sheetProtection algorithmName="SHA-512" hashValue="YH2MccJ9Tmjkww/Ls7IQSykwyUnpdk5RAebkvlklsHPORWrt7Gq7k5XPt53DWyS0C7+yFjb1Bsr4LmacQIPlyw==" saltValue="hnTphp2S5bQJlMXB7TL73g==" spinCount="100000" sheet="1" objects="1"/>
  <mergeCells count="16">
    <mergeCell ref="A53:B53"/>
    <mergeCell ref="A51:B51"/>
    <mergeCell ref="A46:B46"/>
    <mergeCell ref="A2:M2"/>
    <mergeCell ref="A1:Q1"/>
    <mergeCell ref="A47:B47"/>
    <mergeCell ref="A48:B48"/>
    <mergeCell ref="A49:B49"/>
    <mergeCell ref="G9:G10"/>
    <mergeCell ref="G28:G29"/>
    <mergeCell ref="C7:F7"/>
    <mergeCell ref="H7:M7"/>
    <mergeCell ref="B4:C4"/>
    <mergeCell ref="B5:C5"/>
    <mergeCell ref="B3:C3"/>
    <mergeCell ref="A50:B50"/>
  </mergeCells>
  <conditionalFormatting sqref="C51:F51 H51:M51">
    <cfRule type="iconSet" priority="1">
      <iconSet iconSet="3Flags">
        <cfvo type="percent" val="0"/>
        <cfvo type="num" val="0"/>
        <cfvo type="num" val="0.1"/>
      </iconSet>
    </cfRule>
  </conditionalFormatting>
  <dataValidations xWindow="209" yWindow="704" count="3">
    <dataValidation type="list" allowBlank="1" showInputMessage="1" showErrorMessage="1" sqref="B11:B12" xr:uid="{A662D4C7-C7C3-4EC9-95A5-57F24EBA01D3}">
      <formula1>$A$57:$A$58</formula1>
    </dataValidation>
    <dataValidation allowBlank="1" showInputMessage="1" showErrorMessage="1" sqref="Q9" xr:uid="{427183A2-DBBF-4FD0-B314-5560B7A702BE}"/>
    <dataValidation type="decimal" operator="greaterThanOrEqual" allowBlank="1" showErrorMessage="1" errorTitle="Attention" error="Le nombre saisi doit être suppérieur ou égale à zéro." sqref="B4:C5" xr:uid="{CBE57799-5D89-4DD2-ABDC-4B206582B387}">
      <formula1>0</formula1>
    </dataValidation>
  </dataValidations>
  <pageMargins left="0.7" right="0.7" top="0.75" bottom="0.75" header="0.3" footer="0.3"/>
  <pageSetup paperSize="8" scale="77" orientation="landscape" r:id="rId1"/>
  <drawing r:id="rId2"/>
  <extLst>
    <ext xmlns:x14="http://schemas.microsoft.com/office/spreadsheetml/2009/9/main" uri="{78C0D931-6437-407d-A8EE-F0AAD7539E65}">
      <x14:conditionalFormattings>
        <x14:conditionalFormatting xmlns:xm="http://schemas.microsoft.com/office/excel/2006/main">
          <x14:cfRule type="iconSet" priority="2" id="{4B786154-27B7-471E-B657-B80AAC2EEF05}">
            <x14:iconSet iconSet="3Flags" custom="1">
              <x14:cfvo type="percent">
                <xm:f>0</xm:f>
              </x14:cfvo>
              <x14:cfvo type="num">
                <xm:f>0</xm:f>
              </x14:cfvo>
              <x14:cfvo type="num">
                <xm:f>0</xm:f>
              </x14:cfvo>
              <x14:cfIcon iconSet="3Flags" iconId="0"/>
              <x14:cfIcon iconSet="NoIcons" iconId="0"/>
              <x14:cfIcon iconSet="NoIcons" iconId="0"/>
            </x14:iconSet>
          </x14:cfRule>
          <xm:sqref>C49:F50 H49:M50</xm:sqref>
        </x14:conditionalFormatting>
      </x14:conditionalFormattings>
    </ext>
    <ext xmlns:x14="http://schemas.microsoft.com/office/spreadsheetml/2009/9/main" uri="{CCE6A557-97BC-4b89-ADB6-D9C93CAAB3DF}">
      <x14:dataValidations xmlns:xm="http://schemas.microsoft.com/office/excel/2006/main" xWindow="209" yWindow="704" count="10">
        <x14:dataValidation type="list" allowBlank="1" showErrorMessage="1" errorTitle="Erreur " error="Merci de saisir &quot;Oui ou Non&quot;" xr:uid="{D5891DB6-7DD2-4C62-B55F-EB4E351F46AA}">
          <x14:formula1>
            <xm:f>'8-Autres enjeux annexes'!$F$34:$F$35</xm:f>
          </x14:formula1>
          <xm:sqref>B13:B26</xm:sqref>
        </x14:dataValidation>
        <x14:dataValidation type="list" allowBlank="1" showErrorMessage="1" errorTitle="Erreur" error="Merci de saisir &quot;Oui&quot; ou &quot;Non&quot;" xr:uid="{BB183724-F6FA-4953-B742-3E021B0A4CD9}">
          <x14:formula1>
            <xm:f>'8-Autres enjeux annexes'!$F$34:$F$35</xm:f>
          </x14:formula1>
          <xm:sqref>B30:B44</xm:sqref>
        </x14:dataValidation>
        <x14:dataValidation type="list" showErrorMessage="1" errorTitle="Saisie non conforme" error="Vous devez choisir une entrée parmis la liste déroulante (en cliquant sur la flêche à droite de la cellule)._x000a_Cette liste peut être modifiée dans dans l'onglet &quot;1-Informations et paramétrages&quot;." xr:uid="{1C4F0267-6925-4E78-8A4A-F174EFF3B62B}">
          <x14:formula1>
            <xm:f>'1-Informations-paramètres '!$D$21:$D$34</xm:f>
          </x14:formula1>
          <xm:sqref>A30:A43</xm:sqref>
        </x14:dataValidation>
        <x14:dataValidation type="list" allowBlank="1" showErrorMessage="1" errorTitle="Saisie non conforme" error="Vous devez choisir une entrée parmis la liste déroulante (en cliquant sur la flêche à droite de la cellule)._x000a_Cette liste peut être modifiée dans dans l'onglet &quot;3-Variation prospective - Section de fonctionnement&quot;." xr:uid="{F911C6EB-5926-466C-83D5-6C2D6F9FCC37}">
          <x14:formula1>
            <xm:f>'3-Variations du fonctionnement'!$A$4:$A$13</xm:f>
          </x14:formula1>
          <xm:sqref>G30:G44</xm:sqref>
        </x14:dataValidation>
        <x14:dataValidation type="list" allowBlank="1" showInputMessage="1" showErrorMessage="1" xr:uid="{059CDF66-1760-4905-9E9B-A472ACBDD6D0}">
          <x14:formula1>
            <xm:f>'1-Informations-paramètres '!$B$61:$B$68</xm:f>
          </x14:formula1>
          <xm:sqref>Q4</xm:sqref>
        </x14:dataValidation>
        <x14:dataValidation type="list" allowBlank="1" showInputMessage="1" showErrorMessage="1" xr:uid="{B58DEC4E-456A-4402-9111-5217DBD886AE}">
          <x14:formula1>
            <xm:f>'1-Informations-paramètres '!$B$62:$B$69</xm:f>
          </x14:formula1>
          <xm:sqref>R4</xm:sqref>
        </x14:dataValidation>
        <x14:dataValidation type="list" allowBlank="1" showInputMessage="1" showErrorMessage="1" errorTitle="Saisie non conforme" error="Vous devez choisir une entrée parmis la liste déroulante (en cliquant sur la flêche à droite de la cellule)._x000a_Cette liste peut être modifiée dans dans l'onglet &quot;1-Informations et paramétrages&quot;." xr:uid="{27F497CB-3123-4A0B-B9B7-99E9450B9199}">
          <x14:formula1>
            <xm:f>'1-Informations-paramètres '!$B$23:$B$34</xm:f>
          </x14:formula1>
          <xm:sqref>A14:A25 A13</xm:sqref>
        </x14:dataValidation>
        <x14:dataValidation type="list" allowBlank="1" showInputMessage="1" showErrorMessage="1" xr:uid="{DFC3E2BA-38CF-4947-923B-A2EA7A584B01}">
          <x14:formula1>
            <xm:f>'1-Informations-paramètres '!$B$21</xm:f>
          </x14:formula1>
          <xm:sqref>A11</xm:sqref>
        </x14:dataValidation>
        <x14:dataValidation type="list" allowBlank="1" showInputMessage="1" showErrorMessage="1" xr:uid="{64A3ED7E-C13E-4D9E-87F5-A4C770D8F3C5}">
          <x14:formula1>
            <xm:f>'1-Informations-paramètres '!$B$22</xm:f>
          </x14:formula1>
          <xm:sqref>A12</xm:sqref>
        </x14:dataValidation>
        <x14:dataValidation type="list" showErrorMessage="1" errorTitle="Saisie non conforme" error="Vous devez choisir une entrée parmis la liste déroulante (en cliquant sur la flêche à droite de la cellule)._x000a_Cette liste peut être modifiée dans dans l'onglet &quot;3-Variation prospective - Section de fonctionnement&quot;." xr:uid="{7BD76903-C97E-43CD-BC92-DB3DE83A0FB9}">
          <x14:formula1>
            <xm:f>'3-Variations du fonctionnement'!$A$4:$A$13</xm:f>
          </x14:formula1>
          <xm:sqref>G13:G26 G11</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6A41CE-F5A1-427F-8563-646FF7A74C5B}">
  <sheetPr codeName="Feuil3">
    <pageSetUpPr fitToPage="1"/>
  </sheetPr>
  <dimension ref="A1:P37"/>
  <sheetViews>
    <sheetView zoomScale="80" zoomScaleNormal="80" workbookViewId="0">
      <selection activeCell="C4" sqref="C4"/>
    </sheetView>
  </sheetViews>
  <sheetFormatPr baseColWidth="10" defaultColWidth="11.54296875" defaultRowHeight="16.5" x14ac:dyDescent="0.45"/>
  <cols>
    <col min="1" max="1" width="37.1796875" style="66" customWidth="1"/>
    <col min="2" max="2" width="20.81640625" style="66" customWidth="1"/>
    <col min="3" max="8" width="10.7265625" style="66" customWidth="1"/>
    <col min="9" max="9" width="14" style="66" customWidth="1"/>
    <col min="10" max="10" width="1.54296875" style="66" customWidth="1"/>
    <col min="11" max="16384" width="11.54296875" style="66"/>
  </cols>
  <sheetData>
    <row r="1" spans="1:16" ht="21.5" thickBot="1" x14ac:dyDescent="0.6">
      <c r="A1" s="552" t="str">
        <f>"VARIATIONS DE LA SECTION DE FONCTIONNEMENT - Scénario " &amp;'1-Informations-paramètres '!C9</f>
        <v xml:space="preserve">VARIATIONS DE LA SECTION DE FONCTIONNEMENT - Scénario </v>
      </c>
      <c r="B1" s="553"/>
      <c r="C1" s="553"/>
      <c r="D1" s="553"/>
      <c r="E1" s="553"/>
      <c r="F1" s="553"/>
      <c r="G1" s="553"/>
      <c r="H1" s="553"/>
      <c r="I1" s="553"/>
      <c r="J1" s="553"/>
      <c r="K1" s="553"/>
      <c r="L1" s="553"/>
      <c r="M1" s="553"/>
      <c r="N1" s="553"/>
      <c r="O1" s="553"/>
      <c r="P1" s="553"/>
    </row>
    <row r="2" spans="1:16" ht="17" thickBot="1" x14ac:dyDescent="0.5">
      <c r="A2" s="560" t="str">
        <f>"Les montants ci-dessous sont exprimés " &amp; '1-Informations-paramètres '!C10</f>
        <v xml:space="preserve">Les montants ci-dessous sont exprimés </v>
      </c>
      <c r="B2" s="560"/>
      <c r="C2" s="560"/>
      <c r="D2" s="560"/>
      <c r="E2" s="560"/>
      <c r="F2" s="560"/>
      <c r="G2" s="560"/>
      <c r="H2" s="560"/>
      <c r="I2" s="560"/>
    </row>
    <row r="3" spans="1:16" ht="25.15" customHeight="1" x14ac:dyDescent="0.45">
      <c r="A3" s="556" t="s">
        <v>37</v>
      </c>
      <c r="B3" s="557"/>
      <c r="C3" s="196">
        <f>+'2-Section de Fonctionnement'!H9</f>
        <v>4</v>
      </c>
      <c r="D3" s="196">
        <f>C3+1</f>
        <v>5</v>
      </c>
      <c r="E3" s="196">
        <f>D3+1</f>
        <v>6</v>
      </c>
      <c r="F3" s="196">
        <f>E3+1</f>
        <v>7</v>
      </c>
      <c r="G3" s="196">
        <f>F3+1</f>
        <v>8</v>
      </c>
      <c r="H3" s="397">
        <f>G3+1</f>
        <v>9</v>
      </c>
    </row>
    <row r="4" spans="1:16" x14ac:dyDescent="0.45">
      <c r="A4" s="558" t="s">
        <v>129</v>
      </c>
      <c r="B4" s="559"/>
      <c r="C4" s="456">
        <v>0</v>
      </c>
      <c r="D4" s="456">
        <v>0</v>
      </c>
      <c r="E4" s="456">
        <v>0</v>
      </c>
      <c r="F4" s="457">
        <v>0</v>
      </c>
      <c r="G4" s="457">
        <v>0</v>
      </c>
      <c r="H4" s="458">
        <v>0</v>
      </c>
    </row>
    <row r="5" spans="1:16" x14ac:dyDescent="0.45">
      <c r="A5" s="554" t="s">
        <v>121</v>
      </c>
      <c r="B5" s="555"/>
      <c r="C5" s="98">
        <v>1.7999999999999999E-2</v>
      </c>
      <c r="D5" s="98">
        <v>0.02</v>
      </c>
      <c r="E5" s="98">
        <v>0.02</v>
      </c>
      <c r="F5" s="99">
        <v>0.02</v>
      </c>
      <c r="G5" s="99">
        <v>0.02</v>
      </c>
      <c r="H5" s="100">
        <v>0.02</v>
      </c>
    </row>
    <row r="6" spans="1:16" x14ac:dyDescent="0.45">
      <c r="A6" s="554" t="s">
        <v>122</v>
      </c>
      <c r="B6" s="555"/>
      <c r="C6" s="98">
        <v>0.03</v>
      </c>
      <c r="D6" s="98">
        <v>0.03</v>
      </c>
      <c r="E6" s="98">
        <v>0.03</v>
      </c>
      <c r="F6" s="99">
        <v>0.03</v>
      </c>
      <c r="G6" s="99">
        <v>0.03</v>
      </c>
      <c r="H6" s="100">
        <v>0.03</v>
      </c>
    </row>
    <row r="7" spans="1:16" x14ac:dyDescent="0.45">
      <c r="A7" s="554" t="s">
        <v>123</v>
      </c>
      <c r="B7" s="555"/>
      <c r="C7" s="98">
        <v>0.02</v>
      </c>
      <c r="D7" s="98">
        <v>2.1999999999999999E-2</v>
      </c>
      <c r="E7" s="98">
        <v>2.1999999999999999E-2</v>
      </c>
      <c r="F7" s="99">
        <v>2.1999999999999999E-2</v>
      </c>
      <c r="G7" s="99">
        <v>2.1999999999999999E-2</v>
      </c>
      <c r="H7" s="100">
        <v>2.1999999999999999E-2</v>
      </c>
    </row>
    <row r="8" spans="1:16" x14ac:dyDescent="0.45">
      <c r="A8" s="554" t="s">
        <v>124</v>
      </c>
      <c r="B8" s="555"/>
      <c r="C8" s="98">
        <v>0.03</v>
      </c>
      <c r="D8" s="98">
        <v>0.05</v>
      </c>
      <c r="E8" s="98">
        <v>0.02</v>
      </c>
      <c r="F8" s="99">
        <v>0.02</v>
      </c>
      <c r="G8" s="99">
        <v>0.02</v>
      </c>
      <c r="H8" s="100">
        <v>0.02</v>
      </c>
    </row>
    <row r="9" spans="1:16" x14ac:dyDescent="0.45">
      <c r="A9" s="554" t="s">
        <v>125</v>
      </c>
      <c r="B9" s="555"/>
      <c r="C9" s="98">
        <v>2.5000000000000001E-2</v>
      </c>
      <c r="D9" s="98">
        <v>0.03</v>
      </c>
      <c r="E9" s="98">
        <v>0.03</v>
      </c>
      <c r="F9" s="99">
        <v>2.5000000000000001E-2</v>
      </c>
      <c r="G9" s="99">
        <v>2.5000000000000001E-2</v>
      </c>
      <c r="H9" s="100">
        <v>2.5000000000000001E-2</v>
      </c>
    </row>
    <row r="10" spans="1:16" x14ac:dyDescent="0.45">
      <c r="A10" s="554" t="s">
        <v>126</v>
      </c>
      <c r="B10" s="555"/>
      <c r="C10" s="98">
        <v>0.01</v>
      </c>
      <c r="D10" s="98">
        <v>0.01</v>
      </c>
      <c r="E10" s="98">
        <v>0.01</v>
      </c>
      <c r="F10" s="99">
        <v>0.01</v>
      </c>
      <c r="G10" s="99">
        <v>0.01</v>
      </c>
      <c r="H10" s="100">
        <v>0.01</v>
      </c>
    </row>
    <row r="11" spans="1:16" x14ac:dyDescent="0.45">
      <c r="A11" s="554" t="s">
        <v>130</v>
      </c>
      <c r="B11" s="555"/>
      <c r="C11" s="98"/>
      <c r="D11" s="98"/>
      <c r="E11" s="98"/>
      <c r="F11" s="99"/>
      <c r="G11" s="99"/>
      <c r="H11" s="100"/>
    </row>
    <row r="12" spans="1:16" x14ac:dyDescent="0.45">
      <c r="A12" s="554"/>
      <c r="B12" s="555"/>
      <c r="C12" s="98"/>
      <c r="D12" s="98"/>
      <c r="E12" s="98"/>
      <c r="F12" s="99"/>
      <c r="G12" s="99"/>
      <c r="H12" s="100"/>
    </row>
    <row r="13" spans="1:16" ht="17" thickBot="1" x14ac:dyDescent="0.5">
      <c r="A13" s="567"/>
      <c r="B13" s="568"/>
      <c r="C13" s="101"/>
      <c r="D13" s="101"/>
      <c r="E13" s="101"/>
      <c r="F13" s="102"/>
      <c r="G13" s="102"/>
      <c r="H13" s="103"/>
    </row>
    <row r="14" spans="1:16" ht="17" thickBot="1" x14ac:dyDescent="0.5">
      <c r="A14" s="86"/>
      <c r="I14" s="97"/>
      <c r="J14" s="97"/>
    </row>
    <row r="15" spans="1:16" ht="36" customHeight="1" thickBot="1" x14ac:dyDescent="0.5">
      <c r="A15" s="197" t="s">
        <v>120</v>
      </c>
      <c r="B15" s="198" t="s">
        <v>38</v>
      </c>
      <c r="C15" s="199">
        <f>C3</f>
        <v>4</v>
      </c>
      <c r="D15" s="200">
        <f>C15+1</f>
        <v>5</v>
      </c>
      <c r="E15" s="200">
        <f>D15+1</f>
        <v>6</v>
      </c>
      <c r="F15" s="200">
        <f>E15+1</f>
        <v>7</v>
      </c>
      <c r="G15" s="200">
        <f>F15+1</f>
        <v>8</v>
      </c>
      <c r="H15" s="201">
        <f>G15+1</f>
        <v>9</v>
      </c>
      <c r="I15" s="202" t="s">
        <v>39</v>
      </c>
      <c r="J15" s="87"/>
      <c r="K15" s="293">
        <f t="shared" ref="K15:P15" si="0">C15</f>
        <v>4</v>
      </c>
      <c r="L15" s="294">
        <f t="shared" si="0"/>
        <v>5</v>
      </c>
      <c r="M15" s="294">
        <f t="shared" si="0"/>
        <v>6</v>
      </c>
      <c r="N15" s="294">
        <f t="shared" si="0"/>
        <v>7</v>
      </c>
      <c r="O15" s="294">
        <f t="shared" si="0"/>
        <v>8</v>
      </c>
      <c r="P15" s="295">
        <f t="shared" si="0"/>
        <v>9</v>
      </c>
    </row>
    <row r="16" spans="1:16" ht="19.5" customHeight="1" x14ac:dyDescent="0.45">
      <c r="A16" s="569" t="str">
        <f>"VARIATION DES DEPENSES (ajout ou diminution) " &amp; '1-Informations-paramètres '!C10</f>
        <v xml:space="preserve">VARIATION DES DEPENSES (ajout ou diminution) </v>
      </c>
      <c r="B16" s="570"/>
      <c r="C16" s="570"/>
      <c r="D16" s="570"/>
      <c r="E16" s="570"/>
      <c r="F16" s="570"/>
      <c r="G16" s="570"/>
      <c r="H16" s="571"/>
      <c r="I16" s="387">
        <f>SUM(I17:I26)</f>
        <v>0</v>
      </c>
      <c r="J16" s="87"/>
      <c r="K16" s="564" t="s">
        <v>97</v>
      </c>
      <c r="L16" s="565"/>
      <c r="M16" s="565"/>
      <c r="N16" s="565"/>
      <c r="O16" s="565"/>
      <c r="P16" s="566"/>
    </row>
    <row r="17" spans="1:16" ht="16.899999999999999" customHeight="1" x14ac:dyDescent="0.45">
      <c r="A17" s="341"/>
      <c r="B17" s="346"/>
      <c r="C17" s="227"/>
      <c r="D17" s="228"/>
      <c r="E17" s="228"/>
      <c r="F17" s="228"/>
      <c r="G17" s="228"/>
      <c r="H17" s="229"/>
      <c r="I17" s="386">
        <f>SUM(C17:H17)</f>
        <v>0</v>
      </c>
      <c r="J17" s="231"/>
      <c r="K17" s="232">
        <f>C17</f>
        <v>0</v>
      </c>
      <c r="L17" s="233">
        <f>K17+D17</f>
        <v>0</v>
      </c>
      <c r="M17" s="233">
        <f>L17+E17</f>
        <v>0</v>
      </c>
      <c r="N17" s="233">
        <f>M17+F17</f>
        <v>0</v>
      </c>
      <c r="O17" s="233">
        <f>N17+G17</f>
        <v>0</v>
      </c>
      <c r="P17" s="234">
        <f>O17+H17</f>
        <v>0</v>
      </c>
    </row>
    <row r="18" spans="1:16" ht="16.899999999999999" customHeight="1" x14ac:dyDescent="0.45">
      <c r="A18" s="340"/>
      <c r="B18" s="347"/>
      <c r="C18" s="64"/>
      <c r="D18" s="65"/>
      <c r="E18" s="65"/>
      <c r="F18" s="65"/>
      <c r="G18" s="65"/>
      <c r="H18" s="235"/>
      <c r="I18" s="230">
        <f t="shared" ref="I18:I26" si="1">SUM(C18:H18)</f>
        <v>0</v>
      </c>
      <c r="J18" s="231"/>
      <c r="K18" s="236">
        <f t="shared" ref="K18:K37" si="2">C18</f>
        <v>0</v>
      </c>
      <c r="L18" s="237">
        <f t="shared" ref="L18:L37" si="3">K18+D18</f>
        <v>0</v>
      </c>
      <c r="M18" s="237">
        <f t="shared" ref="M18:M37" si="4">L18+E18</f>
        <v>0</v>
      </c>
      <c r="N18" s="237">
        <f t="shared" ref="N18:N37" si="5">M18+F18</f>
        <v>0</v>
      </c>
      <c r="O18" s="237">
        <f t="shared" ref="O18:O37" si="6">N18+G18</f>
        <v>0</v>
      </c>
      <c r="P18" s="238">
        <f t="shared" ref="P18:P37" si="7">O18+H18</f>
        <v>0</v>
      </c>
    </row>
    <row r="19" spans="1:16" ht="16.899999999999999" customHeight="1" x14ac:dyDescent="0.45">
      <c r="A19" s="340"/>
      <c r="B19" s="347"/>
      <c r="C19" s="64"/>
      <c r="D19" s="65"/>
      <c r="E19" s="65"/>
      <c r="F19" s="65"/>
      <c r="G19" s="65"/>
      <c r="H19" s="235"/>
      <c r="I19" s="230">
        <f t="shared" si="1"/>
        <v>0</v>
      </c>
      <c r="J19" s="231"/>
      <c r="K19" s="236">
        <f t="shared" si="2"/>
        <v>0</v>
      </c>
      <c r="L19" s="237">
        <f t="shared" si="3"/>
        <v>0</v>
      </c>
      <c r="M19" s="237">
        <f t="shared" si="4"/>
        <v>0</v>
      </c>
      <c r="N19" s="237">
        <f t="shared" si="5"/>
        <v>0</v>
      </c>
      <c r="O19" s="237">
        <f t="shared" si="6"/>
        <v>0</v>
      </c>
      <c r="P19" s="238">
        <f t="shared" si="7"/>
        <v>0</v>
      </c>
    </row>
    <row r="20" spans="1:16" ht="16.899999999999999" customHeight="1" x14ac:dyDescent="0.45">
      <c r="A20" s="340"/>
      <c r="B20" s="347"/>
      <c r="C20" s="64"/>
      <c r="D20" s="65"/>
      <c r="E20" s="65"/>
      <c r="F20" s="65"/>
      <c r="G20" s="65"/>
      <c r="H20" s="235"/>
      <c r="I20" s="230">
        <f t="shared" si="1"/>
        <v>0</v>
      </c>
      <c r="J20" s="231"/>
      <c r="K20" s="236">
        <f t="shared" si="2"/>
        <v>0</v>
      </c>
      <c r="L20" s="237">
        <f t="shared" si="3"/>
        <v>0</v>
      </c>
      <c r="M20" s="237">
        <f t="shared" si="4"/>
        <v>0</v>
      </c>
      <c r="N20" s="237">
        <f t="shared" si="5"/>
        <v>0</v>
      </c>
      <c r="O20" s="237">
        <f t="shared" si="6"/>
        <v>0</v>
      </c>
      <c r="P20" s="238">
        <f t="shared" si="7"/>
        <v>0</v>
      </c>
    </row>
    <row r="21" spans="1:16" ht="16.899999999999999" customHeight="1" x14ac:dyDescent="0.45">
      <c r="A21" s="340"/>
      <c r="B21" s="348"/>
      <c r="C21" s="239"/>
      <c r="D21" s="65"/>
      <c r="E21" s="65"/>
      <c r="F21" s="65"/>
      <c r="G21" s="65"/>
      <c r="H21" s="235"/>
      <c r="I21" s="230">
        <f t="shared" si="1"/>
        <v>0</v>
      </c>
      <c r="J21" s="231"/>
      <c r="K21" s="236">
        <f t="shared" si="2"/>
        <v>0</v>
      </c>
      <c r="L21" s="237">
        <f t="shared" si="3"/>
        <v>0</v>
      </c>
      <c r="M21" s="237">
        <f t="shared" si="4"/>
        <v>0</v>
      </c>
      <c r="N21" s="237">
        <f t="shared" si="5"/>
        <v>0</v>
      </c>
      <c r="O21" s="237">
        <f t="shared" si="6"/>
        <v>0</v>
      </c>
      <c r="P21" s="238">
        <f t="shared" si="7"/>
        <v>0</v>
      </c>
    </row>
    <row r="22" spans="1:16" ht="16.899999999999999" customHeight="1" x14ac:dyDescent="0.45">
      <c r="A22" s="340"/>
      <c r="B22" s="347"/>
      <c r="C22" s="64"/>
      <c r="D22" s="65"/>
      <c r="E22" s="65"/>
      <c r="F22" s="65"/>
      <c r="G22" s="65"/>
      <c r="H22" s="235"/>
      <c r="I22" s="230">
        <f t="shared" si="1"/>
        <v>0</v>
      </c>
      <c r="J22" s="231"/>
      <c r="K22" s="236">
        <f t="shared" si="2"/>
        <v>0</v>
      </c>
      <c r="L22" s="237">
        <f t="shared" si="3"/>
        <v>0</v>
      </c>
      <c r="M22" s="237">
        <f t="shared" si="4"/>
        <v>0</v>
      </c>
      <c r="N22" s="237">
        <f t="shared" si="5"/>
        <v>0</v>
      </c>
      <c r="O22" s="237">
        <f t="shared" si="6"/>
        <v>0</v>
      </c>
      <c r="P22" s="238">
        <f t="shared" si="7"/>
        <v>0</v>
      </c>
    </row>
    <row r="23" spans="1:16" ht="16.899999999999999" customHeight="1" x14ac:dyDescent="0.45">
      <c r="A23" s="340"/>
      <c r="B23" s="347"/>
      <c r="C23" s="64"/>
      <c r="D23" s="65"/>
      <c r="E23" s="65"/>
      <c r="F23" s="65"/>
      <c r="G23" s="65"/>
      <c r="H23" s="235"/>
      <c r="I23" s="230">
        <f t="shared" si="1"/>
        <v>0</v>
      </c>
      <c r="J23" s="231"/>
      <c r="K23" s="236">
        <f t="shared" si="2"/>
        <v>0</v>
      </c>
      <c r="L23" s="237">
        <f t="shared" si="3"/>
        <v>0</v>
      </c>
      <c r="M23" s="237">
        <f t="shared" si="4"/>
        <v>0</v>
      </c>
      <c r="N23" s="237">
        <f t="shared" si="5"/>
        <v>0</v>
      </c>
      <c r="O23" s="237">
        <f t="shared" si="6"/>
        <v>0</v>
      </c>
      <c r="P23" s="238">
        <f t="shared" si="7"/>
        <v>0</v>
      </c>
    </row>
    <row r="24" spans="1:16" ht="16.899999999999999" customHeight="1" x14ac:dyDescent="0.45">
      <c r="A24" s="340"/>
      <c r="B24" s="347"/>
      <c r="C24" s="64"/>
      <c r="D24" s="65"/>
      <c r="E24" s="65"/>
      <c r="F24" s="65"/>
      <c r="G24" s="65"/>
      <c r="H24" s="235"/>
      <c r="I24" s="230">
        <f t="shared" si="1"/>
        <v>0</v>
      </c>
      <c r="J24" s="231"/>
      <c r="K24" s="236">
        <f t="shared" si="2"/>
        <v>0</v>
      </c>
      <c r="L24" s="237">
        <f t="shared" si="3"/>
        <v>0</v>
      </c>
      <c r="M24" s="237">
        <f t="shared" si="4"/>
        <v>0</v>
      </c>
      <c r="N24" s="237">
        <f t="shared" si="5"/>
        <v>0</v>
      </c>
      <c r="O24" s="237">
        <f t="shared" si="6"/>
        <v>0</v>
      </c>
      <c r="P24" s="238">
        <f t="shared" si="7"/>
        <v>0</v>
      </c>
    </row>
    <row r="25" spans="1:16" ht="16.899999999999999" customHeight="1" x14ac:dyDescent="0.45">
      <c r="A25" s="340"/>
      <c r="B25" s="347"/>
      <c r="C25" s="64"/>
      <c r="D25" s="65"/>
      <c r="E25" s="65"/>
      <c r="F25" s="65"/>
      <c r="G25" s="65"/>
      <c r="H25" s="235"/>
      <c r="I25" s="230">
        <f t="shared" si="1"/>
        <v>0</v>
      </c>
      <c r="J25" s="231"/>
      <c r="K25" s="236">
        <f t="shared" si="2"/>
        <v>0</v>
      </c>
      <c r="L25" s="237">
        <f t="shared" si="3"/>
        <v>0</v>
      </c>
      <c r="M25" s="237">
        <f t="shared" si="4"/>
        <v>0</v>
      </c>
      <c r="N25" s="237">
        <f t="shared" si="5"/>
        <v>0</v>
      </c>
      <c r="O25" s="237">
        <f t="shared" si="6"/>
        <v>0</v>
      </c>
      <c r="P25" s="238">
        <f t="shared" si="7"/>
        <v>0</v>
      </c>
    </row>
    <row r="26" spans="1:16" ht="17.5" customHeight="1" thickBot="1" x14ac:dyDescent="0.5">
      <c r="A26" s="342"/>
      <c r="B26" s="349"/>
      <c r="C26" s="240"/>
      <c r="D26" s="241"/>
      <c r="E26" s="241"/>
      <c r="F26" s="241"/>
      <c r="G26" s="241"/>
      <c r="H26" s="242"/>
      <c r="I26" s="243">
        <f t="shared" si="1"/>
        <v>0</v>
      </c>
      <c r="J26" s="231"/>
      <c r="K26" s="236">
        <f t="shared" si="2"/>
        <v>0</v>
      </c>
      <c r="L26" s="237">
        <f t="shared" si="3"/>
        <v>0</v>
      </c>
      <c r="M26" s="237">
        <f t="shared" si="4"/>
        <v>0</v>
      </c>
      <c r="N26" s="237">
        <f t="shared" si="5"/>
        <v>0</v>
      </c>
      <c r="O26" s="237">
        <f t="shared" si="6"/>
        <v>0</v>
      </c>
      <c r="P26" s="238">
        <f t="shared" si="7"/>
        <v>0</v>
      </c>
    </row>
    <row r="27" spans="1:16" ht="22.15" customHeight="1" x14ac:dyDescent="0.45">
      <c r="A27" s="561" t="str">
        <f>"VARIATION DES RECETTES (ajout ou diminution) " &amp; '1-Informations-paramètres '!C10</f>
        <v xml:space="preserve">VARIATION DES RECETTES (ajout ou diminution) </v>
      </c>
      <c r="B27" s="562"/>
      <c r="C27" s="562"/>
      <c r="D27" s="562"/>
      <c r="E27" s="562"/>
      <c r="F27" s="562"/>
      <c r="G27" s="562"/>
      <c r="H27" s="563"/>
      <c r="I27" s="150">
        <f>SUM(I28:I37)</f>
        <v>0</v>
      </c>
      <c r="J27" s="87"/>
      <c r="K27" s="561" t="s">
        <v>98</v>
      </c>
      <c r="L27" s="562"/>
      <c r="M27" s="562"/>
      <c r="N27" s="562"/>
      <c r="O27" s="562"/>
      <c r="P27" s="563"/>
    </row>
    <row r="28" spans="1:16" ht="16.899999999999999" customHeight="1" x14ac:dyDescent="0.45">
      <c r="A28" s="409"/>
      <c r="B28" s="414"/>
      <c r="C28" s="227"/>
      <c r="D28" s="228"/>
      <c r="E28" s="228"/>
      <c r="F28" s="228"/>
      <c r="G28" s="228"/>
      <c r="H28" s="229"/>
      <c r="I28" s="244">
        <f t="shared" ref="I28:I34" si="8">SUM(C28:H28)</f>
        <v>0</v>
      </c>
      <c r="J28" s="231"/>
      <c r="K28" s="236">
        <f t="shared" ref="K28:K34" si="9">C28</f>
        <v>0</v>
      </c>
      <c r="L28" s="237">
        <f t="shared" ref="L28:P34" si="10">K28+D28</f>
        <v>0</v>
      </c>
      <c r="M28" s="237">
        <f t="shared" si="10"/>
        <v>0</v>
      </c>
      <c r="N28" s="237">
        <f t="shared" si="10"/>
        <v>0</v>
      </c>
      <c r="O28" s="237">
        <f t="shared" si="10"/>
        <v>0</v>
      </c>
      <c r="P28" s="238">
        <f t="shared" si="10"/>
        <v>0</v>
      </c>
    </row>
    <row r="29" spans="1:16" ht="16.899999999999999" customHeight="1" x14ac:dyDescent="0.45">
      <c r="A29" s="340"/>
      <c r="B29" s="415"/>
      <c r="C29" s="64"/>
      <c r="D29" s="65"/>
      <c r="E29" s="65"/>
      <c r="F29" s="65"/>
      <c r="G29" s="65"/>
      <c r="H29" s="235"/>
      <c r="I29" s="244">
        <f t="shared" si="8"/>
        <v>0</v>
      </c>
      <c r="J29" s="231"/>
      <c r="K29" s="236">
        <f t="shared" si="9"/>
        <v>0</v>
      </c>
      <c r="L29" s="237">
        <f t="shared" si="10"/>
        <v>0</v>
      </c>
      <c r="M29" s="237">
        <f t="shared" si="10"/>
        <v>0</v>
      </c>
      <c r="N29" s="237">
        <f t="shared" si="10"/>
        <v>0</v>
      </c>
      <c r="O29" s="237">
        <f t="shared" si="10"/>
        <v>0</v>
      </c>
      <c r="P29" s="238">
        <f t="shared" si="10"/>
        <v>0</v>
      </c>
    </row>
    <row r="30" spans="1:16" x14ac:dyDescent="0.45">
      <c r="A30" s="340"/>
      <c r="B30" s="415"/>
      <c r="C30" s="64"/>
      <c r="D30" s="65"/>
      <c r="E30" s="65"/>
      <c r="F30" s="65"/>
      <c r="G30" s="65"/>
      <c r="H30" s="235"/>
      <c r="I30" s="244">
        <f t="shared" si="8"/>
        <v>0</v>
      </c>
      <c r="J30" s="245"/>
      <c r="K30" s="236">
        <f t="shared" si="9"/>
        <v>0</v>
      </c>
      <c r="L30" s="237">
        <f t="shared" si="10"/>
        <v>0</v>
      </c>
      <c r="M30" s="237">
        <f t="shared" si="10"/>
        <v>0</v>
      </c>
      <c r="N30" s="237">
        <f t="shared" si="10"/>
        <v>0</v>
      </c>
      <c r="O30" s="237">
        <f t="shared" si="10"/>
        <v>0</v>
      </c>
      <c r="P30" s="238">
        <f t="shared" si="10"/>
        <v>0</v>
      </c>
    </row>
    <row r="31" spans="1:16" x14ac:dyDescent="0.45">
      <c r="A31" s="340"/>
      <c r="B31" s="415"/>
      <c r="C31" s="64"/>
      <c r="D31" s="65"/>
      <c r="E31" s="65"/>
      <c r="F31" s="65"/>
      <c r="G31" s="65"/>
      <c r="H31" s="235"/>
      <c r="I31" s="244">
        <f t="shared" si="8"/>
        <v>0</v>
      </c>
      <c r="J31" s="245"/>
      <c r="K31" s="236">
        <f t="shared" si="9"/>
        <v>0</v>
      </c>
      <c r="L31" s="237">
        <f t="shared" si="10"/>
        <v>0</v>
      </c>
      <c r="M31" s="237">
        <f t="shared" si="10"/>
        <v>0</v>
      </c>
      <c r="N31" s="237">
        <f t="shared" si="10"/>
        <v>0</v>
      </c>
      <c r="O31" s="237">
        <f t="shared" si="10"/>
        <v>0</v>
      </c>
      <c r="P31" s="238">
        <f t="shared" si="10"/>
        <v>0</v>
      </c>
    </row>
    <row r="32" spans="1:16" x14ac:dyDescent="0.45">
      <c r="A32" s="340"/>
      <c r="B32" s="415"/>
      <c r="C32" s="64"/>
      <c r="D32" s="65"/>
      <c r="E32" s="65"/>
      <c r="F32" s="65"/>
      <c r="G32" s="65"/>
      <c r="H32" s="235"/>
      <c r="I32" s="244">
        <f t="shared" si="8"/>
        <v>0</v>
      </c>
      <c r="J32" s="245"/>
      <c r="K32" s="236">
        <f t="shared" si="9"/>
        <v>0</v>
      </c>
      <c r="L32" s="237">
        <f t="shared" si="10"/>
        <v>0</v>
      </c>
      <c r="M32" s="237">
        <f t="shared" si="10"/>
        <v>0</v>
      </c>
      <c r="N32" s="237">
        <f t="shared" si="10"/>
        <v>0</v>
      </c>
      <c r="O32" s="237">
        <f t="shared" si="10"/>
        <v>0</v>
      </c>
      <c r="P32" s="238">
        <f t="shared" si="10"/>
        <v>0</v>
      </c>
    </row>
    <row r="33" spans="1:16" x14ac:dyDescent="0.45">
      <c r="A33" s="340"/>
      <c r="B33" s="415"/>
      <c r="C33" s="64"/>
      <c r="D33" s="65"/>
      <c r="E33" s="65"/>
      <c r="F33" s="65"/>
      <c r="G33" s="65"/>
      <c r="H33" s="235"/>
      <c r="I33" s="244">
        <f t="shared" si="8"/>
        <v>0</v>
      </c>
      <c r="J33" s="245"/>
      <c r="K33" s="236">
        <f t="shared" si="9"/>
        <v>0</v>
      </c>
      <c r="L33" s="237">
        <f t="shared" si="10"/>
        <v>0</v>
      </c>
      <c r="M33" s="237">
        <f t="shared" si="10"/>
        <v>0</v>
      </c>
      <c r="N33" s="237">
        <f t="shared" si="10"/>
        <v>0</v>
      </c>
      <c r="O33" s="237">
        <f t="shared" si="10"/>
        <v>0</v>
      </c>
      <c r="P33" s="238">
        <f t="shared" si="10"/>
        <v>0</v>
      </c>
    </row>
    <row r="34" spans="1:16" x14ac:dyDescent="0.45">
      <c r="A34" s="340"/>
      <c r="B34" s="415"/>
      <c r="C34" s="64"/>
      <c r="D34" s="65"/>
      <c r="E34" s="65"/>
      <c r="F34" s="65"/>
      <c r="G34" s="65"/>
      <c r="H34" s="235"/>
      <c r="I34" s="244">
        <f t="shared" si="8"/>
        <v>0</v>
      </c>
      <c r="J34" s="245"/>
      <c r="K34" s="236">
        <f t="shared" si="9"/>
        <v>0</v>
      </c>
      <c r="L34" s="237">
        <f t="shared" si="10"/>
        <v>0</v>
      </c>
      <c r="M34" s="237">
        <f t="shared" si="10"/>
        <v>0</v>
      </c>
      <c r="N34" s="237">
        <f t="shared" si="10"/>
        <v>0</v>
      </c>
      <c r="O34" s="237">
        <f t="shared" si="10"/>
        <v>0</v>
      </c>
      <c r="P34" s="238">
        <f t="shared" si="10"/>
        <v>0</v>
      </c>
    </row>
    <row r="35" spans="1:16" x14ac:dyDescent="0.45">
      <c r="A35" s="340"/>
      <c r="B35" s="415"/>
      <c r="C35" s="64"/>
      <c r="D35" s="65"/>
      <c r="E35" s="65"/>
      <c r="F35" s="65"/>
      <c r="G35" s="65"/>
      <c r="H35" s="235"/>
      <c r="I35" s="244">
        <f>SUM(C35:H35)</f>
        <v>0</v>
      </c>
      <c r="J35" s="245"/>
      <c r="K35" s="236">
        <f t="shared" si="2"/>
        <v>0</v>
      </c>
      <c r="L35" s="237">
        <f t="shared" si="3"/>
        <v>0</v>
      </c>
      <c r="M35" s="237">
        <f t="shared" si="4"/>
        <v>0</v>
      </c>
      <c r="N35" s="237">
        <f t="shared" si="5"/>
        <v>0</v>
      </c>
      <c r="O35" s="237">
        <f t="shared" si="6"/>
        <v>0</v>
      </c>
      <c r="P35" s="238">
        <f t="shared" si="7"/>
        <v>0</v>
      </c>
    </row>
    <row r="36" spans="1:16" x14ac:dyDescent="0.45">
      <c r="A36" s="340"/>
      <c r="B36" s="415"/>
      <c r="C36" s="64"/>
      <c r="D36" s="65"/>
      <c r="E36" s="65"/>
      <c r="F36" s="65"/>
      <c r="G36" s="65"/>
      <c r="H36" s="235"/>
      <c r="I36" s="244">
        <f>SUM(C36:H36)</f>
        <v>0</v>
      </c>
      <c r="J36" s="245"/>
      <c r="K36" s="236">
        <f t="shared" si="2"/>
        <v>0</v>
      </c>
      <c r="L36" s="237">
        <f t="shared" si="3"/>
        <v>0</v>
      </c>
      <c r="M36" s="237">
        <f t="shared" si="4"/>
        <v>0</v>
      </c>
      <c r="N36" s="237">
        <f t="shared" si="5"/>
        <v>0</v>
      </c>
      <c r="O36" s="237">
        <f t="shared" si="6"/>
        <v>0</v>
      </c>
      <c r="P36" s="238">
        <f t="shared" si="7"/>
        <v>0</v>
      </c>
    </row>
    <row r="37" spans="1:16" ht="17" thickBot="1" x14ac:dyDescent="0.5">
      <c r="A37" s="410"/>
      <c r="B37" s="416"/>
      <c r="C37" s="411"/>
      <c r="D37" s="412"/>
      <c r="E37" s="412"/>
      <c r="F37" s="412"/>
      <c r="G37" s="412"/>
      <c r="H37" s="413"/>
      <c r="I37" s="246">
        <f>SUM(C37:H37)</f>
        <v>0</v>
      </c>
      <c r="J37" s="245"/>
      <c r="K37" s="247">
        <f t="shared" si="2"/>
        <v>0</v>
      </c>
      <c r="L37" s="248">
        <f t="shared" si="3"/>
        <v>0</v>
      </c>
      <c r="M37" s="248">
        <f t="shared" si="4"/>
        <v>0</v>
      </c>
      <c r="N37" s="248">
        <f t="shared" si="5"/>
        <v>0</v>
      </c>
      <c r="O37" s="248">
        <f t="shared" si="6"/>
        <v>0</v>
      </c>
      <c r="P37" s="249">
        <f t="shared" si="7"/>
        <v>0</v>
      </c>
    </row>
  </sheetData>
  <sheetProtection algorithmName="SHA-512" hashValue="rzyNT+jNLuHYDXHcq9G/HT0f47alxH2kDvO+2AnAE3RKXjNjjkUFPKBHY9PRyJBr89+Y3EP/gR/Upv3IyL/iRw==" saltValue="qfH7j339VTjlOVqcvo5EMw==" spinCount="100000" sheet="1" objects="1" scenarios="1"/>
  <mergeCells count="17">
    <mergeCell ref="K27:P27"/>
    <mergeCell ref="K16:P16"/>
    <mergeCell ref="A13:B13"/>
    <mergeCell ref="A16:H16"/>
    <mergeCell ref="A27:H27"/>
    <mergeCell ref="A1:P1"/>
    <mergeCell ref="A12:B12"/>
    <mergeCell ref="A7:B7"/>
    <mergeCell ref="A8:B8"/>
    <mergeCell ref="A9:B9"/>
    <mergeCell ref="A10:B10"/>
    <mergeCell ref="A11:B11"/>
    <mergeCell ref="A3:B3"/>
    <mergeCell ref="A4:B4"/>
    <mergeCell ref="A5:B5"/>
    <mergeCell ref="A6:B6"/>
    <mergeCell ref="A2:I2"/>
  </mergeCells>
  <pageMargins left="0.25" right="0.25" top="0.75" bottom="0.75" header="0.3" footer="0.3"/>
  <pageSetup paperSize="9" scale="68" orientation="landscape" r:id="rId1"/>
  <drawing r:id="rId2"/>
  <extLst>
    <ext xmlns:x14="http://schemas.microsoft.com/office/spreadsheetml/2009/9/main" uri="{CCE6A557-97BC-4b89-ADB6-D9C93CAAB3DF}">
      <x14:dataValidations xmlns:xm="http://schemas.microsoft.com/office/excel/2006/main" count="2">
        <x14:dataValidation type="list" allowBlank="1" showErrorMessage="1" errorTitle="Attention" error="Vous devez choisir une entrée parmis la liste déroulante (en cliquant sur la flêche à droite de la cellule)._x000a_Cette liste peut être modifiée dans dans l'onglet &quot;1-Informations et paramétrages&quot;." xr:uid="{B2897853-E58E-4A04-AA94-DC46DD2F6106}">
          <x14:formula1>
            <xm:f>'1-Informations-paramètres '!$D$21:$D$35</xm:f>
          </x14:formula1>
          <xm:sqref>B28:B37</xm:sqref>
        </x14:dataValidation>
        <x14:dataValidation type="list" allowBlank="1" showErrorMessage="1" errorTitle="Saisie non conforme" error="Vous devez choisir une entrée parmis la liste déroulante (en cliquant sur la flêche à droite de la cellule)._x000a_Cette liste peut être modifiée dans dans l'onglet &quot;1-Informations et paramétrages&quot;." xr:uid="{AE32EA71-68BD-4E34-B73C-22AD0ED1759E}">
          <x14:formula1>
            <xm:f>'1-Informations-paramètres '!$D$58:$D$71</xm:f>
          </x14:formula1>
          <xm:sqref>B17:B26</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194E33-C78B-455C-B7DD-8B660754E19F}">
  <sheetPr codeName="Feuil4">
    <pageSetUpPr fitToPage="1"/>
  </sheetPr>
  <dimension ref="A1:P61"/>
  <sheetViews>
    <sheetView zoomScale="80" zoomScaleNormal="80" workbookViewId="0">
      <selection activeCell="B4" sqref="B4"/>
    </sheetView>
  </sheetViews>
  <sheetFormatPr baseColWidth="10" defaultColWidth="11.54296875" defaultRowHeight="16" x14ac:dyDescent="0.45"/>
  <cols>
    <col min="1" max="1" width="54" style="39" customWidth="1"/>
    <col min="2" max="5" width="11.54296875" style="39" customWidth="1"/>
    <col min="6" max="6" width="8.453125" style="39" customWidth="1"/>
    <col min="7" max="12" width="11.54296875" style="39"/>
    <col min="13" max="13" width="2.7265625" style="39" customWidth="1"/>
    <col min="14" max="14" width="10.81640625" style="39" customWidth="1"/>
    <col min="15" max="15" width="1.453125" style="39" customWidth="1"/>
    <col min="16" max="16" width="10.7265625" style="39" customWidth="1"/>
    <col min="17" max="16384" width="11.54296875" style="39"/>
  </cols>
  <sheetData>
    <row r="1" spans="1:16" ht="21.5" thickBot="1" x14ac:dyDescent="0.6">
      <c r="A1" s="552" t="str">
        <f>"SECTION D'INVESTISSEMENT - Scénario " &amp;'1-Informations-paramètres '!C9</f>
        <v xml:space="preserve">SECTION D'INVESTISSEMENT - Scénario </v>
      </c>
      <c r="B1" s="553"/>
      <c r="C1" s="553"/>
      <c r="D1" s="553"/>
      <c r="E1" s="553"/>
      <c r="F1" s="553"/>
      <c r="G1" s="553"/>
      <c r="H1" s="553"/>
      <c r="I1" s="553"/>
      <c r="J1" s="553"/>
      <c r="K1" s="553"/>
      <c r="L1" s="553"/>
      <c r="M1" s="553"/>
      <c r="N1" s="553"/>
      <c r="O1" s="553"/>
      <c r="P1" s="553"/>
    </row>
    <row r="2" spans="1:16" ht="16.5" thickBot="1" x14ac:dyDescent="0.5">
      <c r="A2" s="573" t="str">
        <f>"Les montants ci-dessous sont exprimés " &amp; '1-Informations-paramètres '!C10</f>
        <v xml:space="preserve">Les montants ci-dessous sont exprimés </v>
      </c>
      <c r="B2" s="573"/>
      <c r="C2" s="573"/>
      <c r="D2" s="573"/>
      <c r="E2" s="573"/>
      <c r="F2" s="573"/>
      <c r="G2" s="573"/>
      <c r="H2" s="573"/>
      <c r="I2" s="573"/>
      <c r="J2" s="573"/>
      <c r="K2" s="573"/>
      <c r="L2" s="573"/>
      <c r="M2" s="573"/>
    </row>
    <row r="3" spans="1:16" ht="16.5" x14ac:dyDescent="0.45">
      <c r="A3" s="203" t="s">
        <v>40</v>
      </c>
      <c r="B3" s="204">
        <f>B14</f>
        <v>0</v>
      </c>
    </row>
    <row r="4" spans="1:16" x14ac:dyDescent="0.45">
      <c r="A4" s="109" t="s">
        <v>108</v>
      </c>
      <c r="B4" s="107"/>
      <c r="C4" s="374" t="s">
        <v>115</v>
      </c>
      <c r="D4" s="67"/>
    </row>
    <row r="5" spans="1:16" ht="16.5" thickBot="1" x14ac:dyDescent="0.5">
      <c r="A5" s="110" t="s">
        <v>109</v>
      </c>
      <c r="B5" s="108"/>
      <c r="C5" s="374" t="s">
        <v>116</v>
      </c>
      <c r="D5" s="67"/>
    </row>
    <row r="6" spans="1:16" ht="19.149999999999999" customHeight="1" thickBot="1" x14ac:dyDescent="0.5"/>
    <row r="7" spans="1:16" ht="16.5" x14ac:dyDescent="0.45">
      <c r="A7" s="217" t="s">
        <v>96</v>
      </c>
      <c r="B7" s="205">
        <f>B3</f>
        <v>0</v>
      </c>
      <c r="C7" s="205">
        <f>B7+1</f>
        <v>1</v>
      </c>
      <c r="D7" s="205">
        <f>C7+1</f>
        <v>2</v>
      </c>
      <c r="E7" s="206">
        <f>D7+1</f>
        <v>3</v>
      </c>
    </row>
    <row r="8" spans="1:16" x14ac:dyDescent="0.45">
      <c r="A8" s="111" t="s">
        <v>41</v>
      </c>
      <c r="B8" s="115"/>
      <c r="C8" s="115"/>
      <c r="D8" s="115"/>
      <c r="E8" s="116"/>
      <c r="J8" s="41"/>
    </row>
    <row r="9" spans="1:16" x14ac:dyDescent="0.45">
      <c r="A9" s="111" t="s">
        <v>104</v>
      </c>
      <c r="B9" s="115"/>
      <c r="C9" s="115"/>
      <c r="D9" s="115"/>
      <c r="E9" s="116"/>
      <c r="F9" s="67"/>
      <c r="H9" s="67"/>
    </row>
    <row r="10" spans="1:16" ht="17" thickBot="1" x14ac:dyDescent="0.5">
      <c r="A10" s="112" t="s">
        <v>42</v>
      </c>
      <c r="B10" s="113">
        <f>B8-B9</f>
        <v>0</v>
      </c>
      <c r="C10" s="113">
        <f>C8-C9</f>
        <v>0</v>
      </c>
      <c r="D10" s="113">
        <f>D8-D9</f>
        <v>0</v>
      </c>
      <c r="E10" s="114">
        <f>E8-E9</f>
        <v>0</v>
      </c>
      <c r="F10" s="67"/>
      <c r="H10" s="67"/>
    </row>
    <row r="11" spans="1:16" ht="16.5" thickBot="1" x14ac:dyDescent="0.5">
      <c r="B11" s="67"/>
      <c r="N11" s="41"/>
    </row>
    <row r="12" spans="1:16" ht="16.5" customHeight="1" thickBot="1" x14ac:dyDescent="0.5">
      <c r="B12" s="540" t="s">
        <v>25</v>
      </c>
      <c r="C12" s="541"/>
      <c r="D12" s="541"/>
      <c r="E12" s="542"/>
      <c r="G12" s="543" t="s">
        <v>26</v>
      </c>
      <c r="H12" s="544"/>
      <c r="I12" s="544"/>
      <c r="J12" s="544"/>
      <c r="K12" s="544"/>
      <c r="L12" s="545"/>
    </row>
    <row r="13" spans="1:16" ht="3" hidden="1" customHeight="1" thickBot="1" x14ac:dyDescent="0.5"/>
    <row r="14" spans="1:16" ht="32.25" customHeight="1" x14ac:dyDescent="0.45">
      <c r="A14" s="180" t="s">
        <v>43</v>
      </c>
      <c r="B14" s="183">
        <f>'2-Section de Fonctionnement'!C28</f>
        <v>0</v>
      </c>
      <c r="C14" s="183">
        <f t="shared" ref="C14:J14" si="0">B14+1</f>
        <v>1</v>
      </c>
      <c r="D14" s="183">
        <f t="shared" si="0"/>
        <v>2</v>
      </c>
      <c r="E14" s="181">
        <f t="shared" si="0"/>
        <v>3</v>
      </c>
      <c r="F14" s="574" t="s">
        <v>44</v>
      </c>
      <c r="G14" s="189">
        <f>E14+1</f>
        <v>4</v>
      </c>
      <c r="H14" s="182">
        <f t="shared" si="0"/>
        <v>5</v>
      </c>
      <c r="I14" s="183">
        <f t="shared" si="0"/>
        <v>6</v>
      </c>
      <c r="J14" s="183">
        <f t="shared" si="0"/>
        <v>7</v>
      </c>
      <c r="K14" s="183">
        <f>J14+1</f>
        <v>8</v>
      </c>
      <c r="L14" s="184">
        <f>K14+1</f>
        <v>9</v>
      </c>
    </row>
    <row r="15" spans="1:16" ht="16.5" x14ac:dyDescent="0.45">
      <c r="A15" s="92" t="s">
        <v>45</v>
      </c>
      <c r="B15" s="76"/>
      <c r="C15" s="76"/>
      <c r="D15" s="76"/>
      <c r="E15" s="77"/>
      <c r="F15" s="575"/>
      <c r="G15" s="351">
        <f t="shared" ref="G15:L15" si="1">SUM(G16:G25)</f>
        <v>0</v>
      </c>
      <c r="H15" s="352">
        <f t="shared" si="1"/>
        <v>0</v>
      </c>
      <c r="I15" s="352">
        <f t="shared" si="1"/>
        <v>0</v>
      </c>
      <c r="J15" s="352">
        <f t="shared" si="1"/>
        <v>0</v>
      </c>
      <c r="K15" s="352">
        <f t="shared" si="1"/>
        <v>0</v>
      </c>
      <c r="L15" s="353">
        <f t="shared" si="1"/>
        <v>0</v>
      </c>
    </row>
    <row r="16" spans="1:16" x14ac:dyDescent="0.45">
      <c r="A16" s="389" t="s">
        <v>14</v>
      </c>
      <c r="B16" s="65"/>
      <c r="C16" s="65"/>
      <c r="D16" s="65"/>
      <c r="E16" s="78"/>
      <c r="F16" s="392" t="s">
        <v>31</v>
      </c>
      <c r="G16" s="56">
        <f>'5-Recours à la dette '!F49</f>
        <v>0</v>
      </c>
      <c r="H16" s="57">
        <f>'5-Recours à la dette '!G49</f>
        <v>0</v>
      </c>
      <c r="I16" s="57">
        <f>'5-Recours à la dette '!H49</f>
        <v>0</v>
      </c>
      <c r="J16" s="57">
        <f>'5-Recours à la dette '!I49</f>
        <v>0</v>
      </c>
      <c r="K16" s="57">
        <f>'5-Recours à la dette '!J49</f>
        <v>0</v>
      </c>
      <c r="L16" s="51">
        <f>'5-Recours à la dette '!K49</f>
        <v>0</v>
      </c>
    </row>
    <row r="17" spans="1:14" x14ac:dyDescent="0.45">
      <c r="A17" s="120"/>
      <c r="B17" s="65"/>
      <c r="C17" s="65"/>
      <c r="D17" s="65"/>
      <c r="E17" s="78"/>
      <c r="F17" s="354"/>
      <c r="G17" s="128"/>
      <c r="H17" s="126"/>
      <c r="I17" s="126"/>
      <c r="J17" s="126"/>
      <c r="K17" s="126"/>
      <c r="L17" s="127"/>
    </row>
    <row r="18" spans="1:14" x14ac:dyDescent="0.45">
      <c r="A18" s="120"/>
      <c r="B18" s="65"/>
      <c r="C18" s="65"/>
      <c r="D18" s="65"/>
      <c r="E18" s="78"/>
      <c r="F18" s="354"/>
      <c r="G18" s="128"/>
      <c r="H18" s="126"/>
      <c r="I18" s="126"/>
      <c r="J18" s="126"/>
      <c r="K18" s="126"/>
      <c r="L18" s="127"/>
    </row>
    <row r="19" spans="1:14" x14ac:dyDescent="0.45">
      <c r="A19" s="120"/>
      <c r="B19" s="65"/>
      <c r="C19" s="65"/>
      <c r="D19" s="65"/>
      <c r="E19" s="78"/>
      <c r="F19" s="354"/>
      <c r="G19" s="128"/>
      <c r="H19" s="126"/>
      <c r="I19" s="126"/>
      <c r="J19" s="126"/>
      <c r="K19" s="126"/>
      <c r="L19" s="127"/>
    </row>
    <row r="20" spans="1:14" x14ac:dyDescent="0.45">
      <c r="A20" s="120"/>
      <c r="B20" s="65"/>
      <c r="C20" s="65"/>
      <c r="D20" s="65"/>
      <c r="E20" s="78"/>
      <c r="F20" s="354"/>
      <c r="G20" s="128"/>
      <c r="H20" s="126"/>
      <c r="I20" s="126"/>
      <c r="J20" s="126"/>
      <c r="K20" s="126"/>
      <c r="L20" s="127"/>
      <c r="M20" s="41"/>
    </row>
    <row r="21" spans="1:14" x14ac:dyDescent="0.45">
      <c r="A21" s="120"/>
      <c r="B21" s="65"/>
      <c r="C21" s="65"/>
      <c r="D21" s="65"/>
      <c r="E21" s="78"/>
      <c r="F21" s="354"/>
      <c r="G21" s="128"/>
      <c r="H21" s="126"/>
      <c r="I21" s="126"/>
      <c r="J21" s="126"/>
      <c r="K21" s="126"/>
      <c r="L21" s="127"/>
    </row>
    <row r="22" spans="1:14" x14ac:dyDescent="0.45">
      <c r="A22" s="120"/>
      <c r="B22" s="65"/>
      <c r="C22" s="65"/>
      <c r="D22" s="65"/>
      <c r="E22" s="78"/>
      <c r="F22" s="354"/>
      <c r="G22" s="128"/>
      <c r="H22" s="126"/>
      <c r="I22" s="126"/>
      <c r="J22" s="126"/>
      <c r="K22" s="126"/>
      <c r="L22" s="127"/>
      <c r="N22" s="41"/>
    </row>
    <row r="23" spans="1:14" x14ac:dyDescent="0.45">
      <c r="A23" s="120"/>
      <c r="B23" s="65"/>
      <c r="C23" s="65"/>
      <c r="D23" s="65"/>
      <c r="E23" s="78"/>
      <c r="F23" s="354"/>
      <c r="G23" s="128"/>
      <c r="H23" s="126"/>
      <c r="I23" s="126"/>
      <c r="J23" s="126"/>
      <c r="K23" s="126"/>
      <c r="L23" s="127"/>
    </row>
    <row r="24" spans="1:14" x14ac:dyDescent="0.45">
      <c r="A24" s="120"/>
      <c r="B24" s="65"/>
      <c r="C24" s="65"/>
      <c r="D24" s="65"/>
      <c r="E24" s="78"/>
      <c r="F24" s="354"/>
      <c r="G24" s="128"/>
      <c r="H24" s="126"/>
      <c r="I24" s="126"/>
      <c r="J24" s="126"/>
      <c r="K24" s="126"/>
      <c r="L24" s="127"/>
    </row>
    <row r="25" spans="1:14" ht="16.5" thickBot="1" x14ac:dyDescent="0.5">
      <c r="A25" s="350" t="s">
        <v>46</v>
      </c>
      <c r="B25" s="151">
        <f>B15-SUM(B16:B24)</f>
        <v>0</v>
      </c>
      <c r="C25" s="151">
        <f>C15-SUM(C16:C24)</f>
        <v>0</v>
      </c>
      <c r="D25" s="151">
        <f>D15-SUM(D16:D24)</f>
        <v>0</v>
      </c>
      <c r="E25" s="152">
        <f>E15-SUM(E16:E24)</f>
        <v>0</v>
      </c>
      <c r="F25" s="355" t="s">
        <v>30</v>
      </c>
      <c r="G25" s="153"/>
      <c r="H25" s="154"/>
      <c r="I25" s="154"/>
      <c r="J25" s="154"/>
      <c r="K25" s="154"/>
      <c r="L25" s="155"/>
    </row>
    <row r="26" spans="1:14" ht="6" hidden="1" customHeight="1" x14ac:dyDescent="0.45">
      <c r="A26" s="572"/>
      <c r="B26" s="572"/>
      <c r="C26" s="572"/>
      <c r="D26" s="572"/>
      <c r="E26" s="572"/>
      <c r="F26" s="572"/>
      <c r="G26" s="572"/>
      <c r="H26" s="572"/>
      <c r="I26" s="572"/>
      <c r="J26" s="572"/>
      <c r="K26" s="572"/>
      <c r="M26" s="41">
        <f>SUM(G17:K17)</f>
        <v>0</v>
      </c>
      <c r="N26" s="39">
        <f>SUM(N15:N18)</f>
        <v>0</v>
      </c>
    </row>
    <row r="27" spans="1:14" ht="17" thickBot="1" x14ac:dyDescent="0.5">
      <c r="A27" s="79"/>
      <c r="B27" s="79"/>
      <c r="C27" s="79"/>
      <c r="D27" s="79"/>
      <c r="E27" s="79"/>
      <c r="F27" s="79"/>
      <c r="G27" s="79"/>
      <c r="H27" s="79"/>
      <c r="I27" s="79"/>
      <c r="J27" s="79"/>
      <c r="K27" s="79"/>
      <c r="M27" s="41"/>
    </row>
    <row r="28" spans="1:14" ht="28.9" customHeight="1" x14ac:dyDescent="0.45">
      <c r="A28" s="187" t="s">
        <v>47</v>
      </c>
      <c r="B28" s="185">
        <f>B7</f>
        <v>0</v>
      </c>
      <c r="C28" s="185">
        <f t="shared" ref="C28:J28" si="2">B28+1</f>
        <v>1</v>
      </c>
      <c r="D28" s="185">
        <f t="shared" si="2"/>
        <v>2</v>
      </c>
      <c r="E28" s="190">
        <f t="shared" si="2"/>
        <v>3</v>
      </c>
      <c r="F28" s="191"/>
      <c r="G28" s="191">
        <f>E28+1</f>
        <v>4</v>
      </c>
      <c r="H28" s="188">
        <f t="shared" si="2"/>
        <v>5</v>
      </c>
      <c r="I28" s="185">
        <f t="shared" si="2"/>
        <v>6</v>
      </c>
      <c r="J28" s="185">
        <f t="shared" si="2"/>
        <v>7</v>
      </c>
      <c r="K28" s="185">
        <f>J28+1</f>
        <v>8</v>
      </c>
      <c r="L28" s="186">
        <f>K28+1</f>
        <v>9</v>
      </c>
    </row>
    <row r="29" spans="1:14" ht="16.5" x14ac:dyDescent="0.45">
      <c r="A29" s="71" t="s">
        <v>41</v>
      </c>
      <c r="B29" s="85">
        <f>B10</f>
        <v>0</v>
      </c>
      <c r="C29" s="85">
        <f>C10</f>
        <v>0</v>
      </c>
      <c r="D29" s="85">
        <f>D10</f>
        <v>0</v>
      </c>
      <c r="E29" s="85">
        <f>E10</f>
        <v>0</v>
      </c>
      <c r="G29" s="80">
        <f t="shared" ref="G29:L29" si="3">SUM(G30:G39)</f>
        <v>0</v>
      </c>
      <c r="H29" s="68">
        <f t="shared" si="3"/>
        <v>0</v>
      </c>
      <c r="I29" s="69">
        <f t="shared" si="3"/>
        <v>0</v>
      </c>
      <c r="J29" s="69">
        <f t="shared" si="3"/>
        <v>0</v>
      </c>
      <c r="K29" s="69">
        <f t="shared" si="3"/>
        <v>0</v>
      </c>
      <c r="L29" s="70">
        <f t="shared" si="3"/>
        <v>0</v>
      </c>
      <c r="M29" s="41"/>
    </row>
    <row r="30" spans="1:14" ht="15" customHeight="1" x14ac:dyDescent="0.45">
      <c r="A30" s="388" t="s">
        <v>15</v>
      </c>
      <c r="B30" s="65"/>
      <c r="C30" s="65"/>
      <c r="D30" s="65"/>
      <c r="E30" s="78"/>
      <c r="G30" s="81">
        <f>IF('1-Informations-paramètres '!C14="N",(SUMIFS(G16:G25,$F$16:$F$25,"Oui")*'1-Informations-paramètres '!C13),IF('1-Informations-paramètres '!C14="N+1",(SUMIFS(E16:E25,$F$16:$F$25,"Oui")*'1-Informations-paramètres '!C13),IF('1-Informations-paramètres '!C14="N+2",(SUMIFS(D16:D25,$F$16:$F$25,"Oui")*'1-Informations-paramètres '!C13),0)))</f>
        <v>0</v>
      </c>
      <c r="H30" s="57">
        <f>IF('1-Informations-paramètres '!C14="N",(SUMIFS(H16:H25,$F$16:$F$25,"Oui")*'1-Informations-paramètres '!C13),IF('1-Informations-paramètres '!C14="N+1",(SUMIFS(G16:G25,$F$16:$F$25,"Oui")*'1-Informations-paramètres '!C13),IF('1-Informations-paramètres '!C14="N+2",(SUMIFS(E16:E25,$F$16:$F$25,"Oui")*'1-Informations-paramètres '!C13),0)))</f>
        <v>0</v>
      </c>
      <c r="I30" s="57">
        <f>IF('1-Informations-paramètres '!$C$14="N",(SUMIFS(I16:I25,$F$16:$F$25,"Oui")*'1-Informations-paramètres '!$C$13),IF('1-Informations-paramètres '!$C$14="N+1",(SUMIFS(H16:H25,$F$16:$F$25,"Oui")*'1-Informations-paramètres '!$C$13),IF('1-Informations-paramètres '!$C$14="N+2",(SUMIFS(G16:G25,$F$16:$F$25,"Oui")*'1-Informations-paramètres '!$C$13),0)))</f>
        <v>0</v>
      </c>
      <c r="J30" s="57">
        <f>IF('1-Informations-paramètres '!$C$14="N",(SUMIFS(J16:J25,$F$16:$F$25,"Oui")*'1-Informations-paramètres '!$C$13),IF('1-Informations-paramètres '!$C$14="N+1",(SUMIFS(I16:I25,$F$16:$F$25,"Oui")*'1-Informations-paramètres '!$C$13),IF('1-Informations-paramètres '!$C$14="N+2",(SUMIFS(H16:H25,$F$16:$F$25,"Oui")*'1-Informations-paramètres '!$C$13),0)))</f>
        <v>0</v>
      </c>
      <c r="K30" s="57">
        <f>IF('1-Informations-paramètres '!$C$14="N",(SUMIFS(K16:K25,$F$16:$F$25,"Oui")*'1-Informations-paramètres '!$C$13),IF('1-Informations-paramètres '!$C$14="N+1",(SUMIFS(J16:J25,$F$16:$F$25,"Oui")*'1-Informations-paramètres '!$C$13),IF('1-Informations-paramètres '!$C$14="N+2",(SUMIFS(I16:I25,$F$16:$F$25,"Oui")*'1-Informations-paramètres '!$C$13),0)))</f>
        <v>0</v>
      </c>
      <c r="L30" s="51">
        <f>IF('1-Informations-paramètres '!$C$14="N",(SUMIFS(L16:L25,$F$16:$F$25,"Oui")*'1-Informations-paramètres '!$C$13),IF('1-Informations-paramètres '!$C$14="N+1",(SUMIFS(K16:K25,$F$16:$F$25,"Oui")*'1-Informations-paramètres '!$C$13),IF('1-Informations-paramètres '!$C$14="N+2",(SUMIFS(J16:J25,$F$16:$F$25,"Oui")*'1-Informations-paramètres '!$C$13),0)))</f>
        <v>0</v>
      </c>
    </row>
    <row r="31" spans="1:14" ht="15" customHeight="1" x14ac:dyDescent="0.45">
      <c r="A31" s="340"/>
      <c r="B31" s="65"/>
      <c r="C31" s="65"/>
      <c r="D31" s="65"/>
      <c r="E31" s="78"/>
      <c r="G31" s="125"/>
      <c r="H31" s="126"/>
      <c r="I31" s="126"/>
      <c r="J31" s="126"/>
      <c r="K31" s="126"/>
      <c r="L31" s="127"/>
    </row>
    <row r="32" spans="1:14" ht="15" customHeight="1" x14ac:dyDescent="0.45">
      <c r="A32" s="340"/>
      <c r="B32" s="65"/>
      <c r="C32" s="65"/>
      <c r="D32" s="65"/>
      <c r="E32" s="78"/>
      <c r="G32" s="125"/>
      <c r="H32" s="126"/>
      <c r="I32" s="126"/>
      <c r="J32" s="126"/>
      <c r="K32" s="126"/>
      <c r="L32" s="127"/>
      <c r="N32" s="41"/>
    </row>
    <row r="33" spans="1:16" ht="15" customHeight="1" x14ac:dyDescent="0.45">
      <c r="A33" s="340"/>
      <c r="B33" s="65"/>
      <c r="C33" s="65"/>
      <c r="D33" s="65"/>
      <c r="E33" s="78"/>
      <c r="G33" s="125"/>
      <c r="H33" s="126"/>
      <c r="I33" s="126"/>
      <c r="J33" s="126"/>
      <c r="K33" s="126"/>
      <c r="L33" s="127"/>
    </row>
    <row r="34" spans="1:16" ht="15" customHeight="1" x14ac:dyDescent="0.45">
      <c r="A34" s="340"/>
      <c r="B34" s="65"/>
      <c r="C34" s="65"/>
      <c r="D34" s="65"/>
      <c r="E34" s="78"/>
      <c r="G34" s="125"/>
      <c r="H34" s="126"/>
      <c r="I34" s="126"/>
      <c r="J34" s="126"/>
      <c r="K34" s="126"/>
      <c r="L34" s="127"/>
    </row>
    <row r="35" spans="1:16" ht="15" customHeight="1" x14ac:dyDescent="0.45">
      <c r="A35" s="340"/>
      <c r="B35" s="65"/>
      <c r="C35" s="65"/>
      <c r="D35" s="65"/>
      <c r="E35" s="78"/>
      <c r="G35" s="125"/>
      <c r="H35" s="126"/>
      <c r="I35" s="126"/>
      <c r="J35" s="126"/>
      <c r="K35" s="126"/>
      <c r="L35" s="127"/>
    </row>
    <row r="36" spans="1:16" ht="15" customHeight="1" x14ac:dyDescent="0.45">
      <c r="A36" s="340"/>
      <c r="B36" s="65"/>
      <c r="C36" s="65"/>
      <c r="D36" s="65"/>
      <c r="E36" s="78"/>
      <c r="G36" s="125"/>
      <c r="H36" s="126"/>
      <c r="I36" s="126"/>
      <c r="J36" s="126"/>
      <c r="K36" s="126"/>
      <c r="L36" s="127"/>
      <c r="M36" s="41"/>
    </row>
    <row r="37" spans="1:16" ht="15" customHeight="1" x14ac:dyDescent="0.45">
      <c r="A37" s="340"/>
      <c r="B37" s="65"/>
      <c r="C37" s="65"/>
      <c r="D37" s="65"/>
      <c r="E37" s="78"/>
      <c r="G37" s="125"/>
      <c r="H37" s="126"/>
      <c r="I37" s="126"/>
      <c r="J37" s="126"/>
      <c r="K37" s="126"/>
      <c r="L37" s="127"/>
    </row>
    <row r="38" spans="1:16" ht="15" customHeight="1" x14ac:dyDescent="0.45">
      <c r="A38" s="390" t="s">
        <v>16</v>
      </c>
      <c r="B38" s="65"/>
      <c r="C38" s="65"/>
      <c r="D38" s="65"/>
      <c r="E38" s="78"/>
      <c r="G38" s="82"/>
      <c r="H38" s="83"/>
      <c r="I38" s="83"/>
      <c r="J38" s="83"/>
      <c r="K38" s="83"/>
      <c r="L38" s="84"/>
    </row>
    <row r="39" spans="1:16" ht="15.65" customHeight="1" thickBot="1" x14ac:dyDescent="0.5">
      <c r="A39" s="156" t="s">
        <v>18</v>
      </c>
      <c r="B39" s="151">
        <f>B29-SUM(B30:B38)</f>
        <v>0</v>
      </c>
      <c r="C39" s="151">
        <f>C29-SUM(C30:C38)</f>
        <v>0</v>
      </c>
      <c r="D39" s="151">
        <f>D29-SUM(D30:D38)</f>
        <v>0</v>
      </c>
      <c r="E39" s="152">
        <f>E29-SUM(E30:E38)</f>
        <v>0</v>
      </c>
      <c r="F39" s="157"/>
      <c r="G39" s="158"/>
      <c r="H39" s="154"/>
      <c r="I39" s="154"/>
      <c r="J39" s="154"/>
      <c r="K39" s="154"/>
      <c r="L39" s="155"/>
    </row>
    <row r="40" spans="1:16" ht="11.5" customHeight="1" thickBot="1" x14ac:dyDescent="0.5"/>
    <row r="41" spans="1:16" ht="17.5" thickBot="1" x14ac:dyDescent="0.5">
      <c r="A41" s="41"/>
      <c r="C41" s="584" t="s">
        <v>48</v>
      </c>
      <c r="D41" s="585"/>
      <c r="E41" s="586"/>
      <c r="F41" s="136"/>
      <c r="G41" s="72">
        <f t="shared" ref="G41:L41" si="4">G48</f>
        <v>0</v>
      </c>
      <c r="H41" s="72">
        <f t="shared" si="4"/>
        <v>0</v>
      </c>
      <c r="I41" s="73">
        <f t="shared" si="4"/>
        <v>0</v>
      </c>
      <c r="J41" s="72">
        <f t="shared" si="4"/>
        <v>0</v>
      </c>
      <c r="K41" s="72">
        <f t="shared" si="4"/>
        <v>0</v>
      </c>
      <c r="L41" s="74">
        <f t="shared" si="4"/>
        <v>0</v>
      </c>
      <c r="M41" s="41"/>
    </row>
    <row r="42" spans="1:16" ht="16.5" thickBot="1" x14ac:dyDescent="0.5"/>
    <row r="43" spans="1:16" ht="16.5" hidden="1" thickBot="1" x14ac:dyDescent="0.5"/>
    <row r="44" spans="1:16" ht="32.25" customHeight="1" x14ac:dyDescent="0.45">
      <c r="A44" s="250" t="s">
        <v>106</v>
      </c>
      <c r="B44" s="218">
        <f>B28</f>
        <v>0</v>
      </c>
      <c r="C44" s="218">
        <f t="shared" ref="C44:K44" si="5">C28</f>
        <v>1</v>
      </c>
      <c r="D44" s="218">
        <f t="shared" si="5"/>
        <v>2</v>
      </c>
      <c r="E44" s="218">
        <f t="shared" si="5"/>
        <v>3</v>
      </c>
      <c r="F44" s="218"/>
      <c r="G44" s="218">
        <f t="shared" si="5"/>
        <v>4</v>
      </c>
      <c r="H44" s="218">
        <f t="shared" si="5"/>
        <v>5</v>
      </c>
      <c r="I44" s="218">
        <f t="shared" si="5"/>
        <v>6</v>
      </c>
      <c r="J44" s="218">
        <f t="shared" si="5"/>
        <v>7</v>
      </c>
      <c r="K44" s="218">
        <f t="shared" si="5"/>
        <v>8</v>
      </c>
      <c r="L44" s="219">
        <f>L28</f>
        <v>9</v>
      </c>
      <c r="N44" s="582" t="str">
        <f>"Evolution " &amp;B44 &amp;"/" &amp;E44</f>
        <v>Evolution 0/3</v>
      </c>
      <c r="P44" s="582" t="str">
        <f>"Evolution " &amp;'1-Informations-paramètres '!C50 &amp;"/" &amp;'1-Informations-paramètres '!C51</f>
        <v>Evolution /</v>
      </c>
    </row>
    <row r="45" spans="1:16" ht="21.75" customHeight="1" x14ac:dyDescent="0.45">
      <c r="A45" s="579" t="s">
        <v>49</v>
      </c>
      <c r="B45" s="580"/>
      <c r="C45" s="580"/>
      <c r="D45" s="580"/>
      <c r="E45" s="580"/>
      <c r="F45" s="580"/>
      <c r="G45" s="580"/>
      <c r="H45" s="580"/>
      <c r="I45" s="580"/>
      <c r="J45" s="580"/>
      <c r="K45" s="580"/>
      <c r="L45" s="581"/>
      <c r="N45" s="583"/>
      <c r="P45" s="583"/>
    </row>
    <row r="46" spans="1:16" ht="15" customHeight="1" x14ac:dyDescent="0.45">
      <c r="A46" s="296" t="s">
        <v>50</v>
      </c>
      <c r="B46" s="57">
        <f>-B4+B5+'2-Section de Fonctionnement'!B5-'2-Section de Fonctionnement'!B4+B9</f>
        <v>0</v>
      </c>
      <c r="C46" s="57">
        <f>B49</f>
        <v>0</v>
      </c>
      <c r="D46" s="56">
        <f t="shared" ref="D46:J46" si="6">C49</f>
        <v>0</v>
      </c>
      <c r="E46" s="297">
        <f t="shared" si="6"/>
        <v>0</v>
      </c>
      <c r="G46" s="302">
        <f>E49</f>
        <v>0</v>
      </c>
      <c r="H46" s="56">
        <f t="shared" si="6"/>
        <v>0</v>
      </c>
      <c r="I46" s="57">
        <f t="shared" si="6"/>
        <v>0</v>
      </c>
      <c r="J46" s="57">
        <f t="shared" si="6"/>
        <v>0</v>
      </c>
      <c r="K46" s="57">
        <f>J49</f>
        <v>0</v>
      </c>
      <c r="L46" s="52">
        <f>K49</f>
        <v>0</v>
      </c>
      <c r="N46" s="91">
        <f>IFERROR((E46-B46)/B46,0)</f>
        <v>0</v>
      </c>
      <c r="P46" s="91">
        <f>-IFERROR((INDEX(B46:L46, MATCH('1-Informations-paramètres '!C$50, $B$14:$L$14, 0)) - INDEX(B46:L46, MATCH('1-Informations-paramètres '!C$51, $B$14:$L$14, 0))) / INDEX(B46:E46, MATCH('1-Informations-paramètres '!C$50, $B$14:$L$14, 0)), "0")</f>
        <v>0</v>
      </c>
    </row>
    <row r="47" spans="1:16" ht="15" customHeight="1" x14ac:dyDescent="0.45">
      <c r="A47" s="296" t="s">
        <v>51</v>
      </c>
      <c r="B47" s="57">
        <f>(B15+'2-Section de Fonctionnement'!C10)-('2-Section de Fonctionnement'!C29+'4-Section d''Investissement'!B29-B38)</f>
        <v>0</v>
      </c>
      <c r="C47" s="57">
        <f>(C15+'2-Section de Fonctionnement'!D10)-('2-Section de Fonctionnement'!D29+'4-Section d''Investissement'!C29-C38)</f>
        <v>0</v>
      </c>
      <c r="D47" s="57">
        <f>(D15+'2-Section de Fonctionnement'!E10)-('2-Section de Fonctionnement'!E29+'4-Section d''Investissement'!D29-D38)</f>
        <v>0</v>
      </c>
      <c r="E47" s="298">
        <f>(E15+'2-Section de Fonctionnement'!F10)-('2-Section de Fonctionnement'!F29+'4-Section d''Investissement'!E29-E38)</f>
        <v>0</v>
      </c>
      <c r="G47" s="81">
        <f>(G15+'2-Section de Fonctionnement'!H10)-('2-Section de Fonctionnement'!H29+'4-Section d''Investissement'!G29)</f>
        <v>0</v>
      </c>
      <c r="H47" s="57">
        <f>(H15+'2-Section de Fonctionnement'!I10)-('2-Section de Fonctionnement'!I29+'4-Section d''Investissement'!H29)</f>
        <v>0</v>
      </c>
      <c r="I47" s="57">
        <f>(I15+'2-Section de Fonctionnement'!J10)-('2-Section de Fonctionnement'!J29+'4-Section d''Investissement'!I29)</f>
        <v>0</v>
      </c>
      <c r="J47" s="57">
        <f>(J15+'2-Section de Fonctionnement'!K10)-('2-Section de Fonctionnement'!K29+'4-Section d''Investissement'!J29)</f>
        <v>0</v>
      </c>
      <c r="K47" s="57">
        <f>(K15+'2-Section de Fonctionnement'!L10)-('2-Section de Fonctionnement'!L29+'4-Section d''Investissement'!K29)</f>
        <v>0</v>
      </c>
      <c r="L47" s="51">
        <f>(L15+'2-Section de Fonctionnement'!M10)-('2-Section de Fonctionnement'!M29+'4-Section d''Investissement'!L29)</f>
        <v>0</v>
      </c>
      <c r="N47" s="252"/>
      <c r="P47" s="252"/>
    </row>
    <row r="48" spans="1:16" ht="15" customHeight="1" x14ac:dyDescent="0.45">
      <c r="A48" s="296" t="s">
        <v>52</v>
      </c>
      <c r="B48" s="57">
        <f>B38</f>
        <v>0</v>
      </c>
      <c r="C48" s="57">
        <f>C38</f>
        <v>0</v>
      </c>
      <c r="D48" s="57">
        <f>D38</f>
        <v>0</v>
      </c>
      <c r="E48" s="298">
        <f>E38</f>
        <v>0</v>
      </c>
      <c r="G48" s="81">
        <f>'5-Recours à la dette '!F48</f>
        <v>0</v>
      </c>
      <c r="H48" s="57">
        <f>'5-Recours à la dette '!G48</f>
        <v>0</v>
      </c>
      <c r="I48" s="57">
        <f>'5-Recours à la dette '!H48</f>
        <v>0</v>
      </c>
      <c r="J48" s="57">
        <f>'5-Recours à la dette '!I48</f>
        <v>0</v>
      </c>
      <c r="K48" s="57">
        <f>'5-Recours à la dette '!J48</f>
        <v>0</v>
      </c>
      <c r="L48" s="51">
        <f>'5-Recours à la dette '!K48</f>
        <v>0</v>
      </c>
      <c r="N48" s="252"/>
      <c r="P48" s="252"/>
    </row>
    <row r="49" spans="1:16" ht="15" customHeight="1" x14ac:dyDescent="0.45">
      <c r="A49" s="296" t="s">
        <v>53</v>
      </c>
      <c r="B49" s="57">
        <f>B46-B47+B48</f>
        <v>0</v>
      </c>
      <c r="C49" s="57">
        <f>C46-C47+C48</f>
        <v>0</v>
      </c>
      <c r="D49" s="57">
        <f t="shared" ref="D49:K49" si="7">D46-D47+D48</f>
        <v>0</v>
      </c>
      <c r="E49" s="298">
        <f>E46-E47+E48</f>
        <v>0</v>
      </c>
      <c r="G49" s="81">
        <f t="shared" si="7"/>
        <v>0</v>
      </c>
      <c r="H49" s="57">
        <f t="shared" si="7"/>
        <v>0</v>
      </c>
      <c r="I49" s="57">
        <f t="shared" si="7"/>
        <v>0</v>
      </c>
      <c r="J49" s="57">
        <f t="shared" si="7"/>
        <v>0</v>
      </c>
      <c r="K49" s="57">
        <f t="shared" si="7"/>
        <v>0</v>
      </c>
      <c r="L49" s="51">
        <f>L46-L47+L48</f>
        <v>0</v>
      </c>
      <c r="N49" s="91">
        <f t="shared" ref="N49:N55" si="8">IFERROR((E49-B49)/B49,0)</f>
        <v>0</v>
      </c>
      <c r="P49" s="91">
        <f>-IFERROR((INDEX(B49:L49, MATCH('1-Informations-paramètres '!C$50, $B$14:$L$14, 0)) - INDEX(B49:L49, MATCH('1-Informations-paramètres '!C$51, $B$14:$L$14, 0))) / INDEX(B49:E49, MATCH('1-Informations-paramètres '!C$50, $B$14:$L$14, 0)), "0")</f>
        <v>0</v>
      </c>
    </row>
    <row r="50" spans="1:16" ht="15" customHeight="1" x14ac:dyDescent="0.45">
      <c r="A50" s="299" t="s">
        <v>54</v>
      </c>
      <c r="B50" s="300">
        <f>B49-B48</f>
        <v>0</v>
      </c>
      <c r="C50" s="300">
        <f t="shared" ref="C50:L50" si="9">C49-C48</f>
        <v>0</v>
      </c>
      <c r="D50" s="300">
        <f t="shared" si="9"/>
        <v>0</v>
      </c>
      <c r="E50" s="301">
        <f t="shared" si="9"/>
        <v>0</v>
      </c>
      <c r="F50" s="89"/>
      <c r="G50" s="303">
        <f t="shared" si="9"/>
        <v>0</v>
      </c>
      <c r="H50" s="300">
        <f t="shared" si="9"/>
        <v>0</v>
      </c>
      <c r="I50" s="300">
        <f t="shared" si="9"/>
        <v>0</v>
      </c>
      <c r="J50" s="300">
        <f t="shared" si="9"/>
        <v>0</v>
      </c>
      <c r="K50" s="300">
        <f t="shared" si="9"/>
        <v>0</v>
      </c>
      <c r="L50" s="304">
        <f t="shared" si="9"/>
        <v>0</v>
      </c>
      <c r="N50" s="91">
        <f t="shared" si="8"/>
        <v>0</v>
      </c>
      <c r="P50" s="91">
        <f>-IFERROR((INDEX(B50:L50, MATCH('1-Informations-paramètres '!C$50, $B$14:$L$14, 0)) - INDEX(B50:L50, MATCH('1-Informations-paramètres '!C$51, $B$14:$L$14, 0))) / INDEX(B50:E50, MATCH('1-Informations-paramètres '!C$50, $B$14:$L$14, 0)), "0")</f>
        <v>0</v>
      </c>
    </row>
    <row r="51" spans="1:16" ht="15" customHeight="1" x14ac:dyDescent="0.45">
      <c r="A51" s="576" t="s">
        <v>55</v>
      </c>
      <c r="B51" s="577"/>
      <c r="C51" s="577"/>
      <c r="D51" s="577"/>
      <c r="E51" s="577"/>
      <c r="F51" s="577"/>
      <c r="G51" s="577"/>
      <c r="H51" s="577"/>
      <c r="I51" s="577"/>
      <c r="J51" s="577"/>
      <c r="K51" s="577"/>
      <c r="L51" s="578"/>
      <c r="N51" s="252"/>
      <c r="P51" s="252"/>
    </row>
    <row r="52" spans="1:16" ht="15" customHeight="1" x14ac:dyDescent="0.45">
      <c r="A52" s="305" t="s">
        <v>164</v>
      </c>
      <c r="B52" s="57">
        <f>'1-Informations-paramètres '!C15+B38-B16</f>
        <v>0</v>
      </c>
      <c r="C52" s="57">
        <f>B52+C38-C16</f>
        <v>0</v>
      </c>
      <c r="D52" s="56">
        <f>C52+D38-D16</f>
        <v>0</v>
      </c>
      <c r="E52" s="306">
        <f>D52+E38-E16</f>
        <v>0</v>
      </c>
      <c r="G52" s="81">
        <f>E52+G41-G16</f>
        <v>0</v>
      </c>
      <c r="H52" s="57">
        <f>G52+H41-H16</f>
        <v>0</v>
      </c>
      <c r="I52" s="57">
        <f>H52+I41-I16</f>
        <v>0</v>
      </c>
      <c r="J52" s="57">
        <f>I52+J41-J16</f>
        <v>0</v>
      </c>
      <c r="K52" s="57">
        <f>J52+K41-K16</f>
        <v>0</v>
      </c>
      <c r="L52" s="51">
        <f>K52+L41-L16</f>
        <v>0</v>
      </c>
      <c r="N52" s="91">
        <f t="shared" si="8"/>
        <v>0</v>
      </c>
      <c r="P52" s="91">
        <f>-IFERROR((INDEX(B52:L52, MATCH('1-Informations-paramètres '!C$50, $B$14:$L$14, 0)) - INDEX(B52:L52, MATCH('1-Informations-paramètres '!C$51, $B$14:$L$14, 0))) / INDEX(B52:E52, MATCH('1-Informations-paramètres '!C$50, $B$14:$L$14, 0)), "0")</f>
        <v>0</v>
      </c>
    </row>
    <row r="53" spans="1:16" ht="15" customHeight="1" x14ac:dyDescent="0.45">
      <c r="A53" s="305" t="s">
        <v>56</v>
      </c>
      <c r="B53" s="126" t="s">
        <v>107</v>
      </c>
      <c r="C53" s="126" t="s">
        <v>107</v>
      </c>
      <c r="D53" s="126" t="s">
        <v>107</v>
      </c>
      <c r="E53" s="306">
        <f>'1-Informations-paramètres '!C11</f>
        <v>0</v>
      </c>
      <c r="G53" s="81">
        <f>('1-Informations-paramètres '!C11)+'1-Informations-paramètres '!C11*'1-Informations-paramètres '!C12</f>
        <v>0</v>
      </c>
      <c r="H53" s="57">
        <f>(G53)+(G53*'1-Informations-paramètres '!$C$12)</f>
        <v>0</v>
      </c>
      <c r="I53" s="57">
        <f>(H53)+(H53*'1-Informations-paramètres '!$C$12)</f>
        <v>0</v>
      </c>
      <c r="J53" s="57">
        <f>(I53)+(I53*'1-Informations-paramètres '!$C$12)</f>
        <v>0</v>
      </c>
      <c r="K53" s="57">
        <f>(J53)+(J53*'1-Informations-paramètres '!$C$12)</f>
        <v>0</v>
      </c>
      <c r="L53" s="51">
        <f>(K53)+(K53*'1-Informations-paramètres '!$C$12)</f>
        <v>0</v>
      </c>
      <c r="N53" s="91">
        <f t="shared" si="8"/>
        <v>0</v>
      </c>
      <c r="P53" s="91">
        <f>-IFERROR((INDEX(B53:L53, MATCH('1-Informations-paramètres '!C$50, $B$14:$L$14, 0)) - INDEX(B53:L53, MATCH('1-Informations-paramètres '!C$51, $B$14:$L$14, 0))) / INDEX(B53:E53, MATCH('1-Informations-paramètres '!C$50, $B$14:$L$14, 0)), "0")</f>
        <v>0</v>
      </c>
    </row>
    <row r="54" spans="1:16" ht="15" customHeight="1" x14ac:dyDescent="0.45">
      <c r="A54" s="305" t="s">
        <v>57</v>
      </c>
      <c r="B54" s="57" t="str">
        <f>IFERROR(IF('1-Informations-paramètres '!$C$10="en milliers d'euros",B52/B53*1000,IF('1-Informations-paramètres '!$C$10="en euros",B52/B53,IF('1-Informations-paramètres '!$C$10="en millions d'euros",B52/B53*1000000,"A saisir"))),"A saisir")</f>
        <v>A saisir</v>
      </c>
      <c r="C54" s="57" t="str">
        <f>IFERROR(IF('1-Informations-paramètres '!$C$10="en milliers d'euros",C52/C53*1000,IF('1-Informations-paramètres '!$C$10="en euros",C52/C53,IF('1-Informations-paramètres '!$C$10="en millions d'euros",C52/C53*1000000,"A saisir"))),"A saisir")</f>
        <v>A saisir</v>
      </c>
      <c r="D54" s="57" t="str">
        <f>IFERROR(IF('1-Informations-paramètres '!$C$10="en milliers d'euros",D52/D53*1000,IF('1-Informations-paramètres '!$C$10="en euros",D52/D53,IF('1-Informations-paramètres '!$C$10="en millions d'euros",D52/D53*1000000,"A saisir"))),"A saisir")</f>
        <v>A saisir</v>
      </c>
      <c r="E54" s="306">
        <f>IFERROR(IF('1-Informations-paramètres '!$C$10="en milliers d'euros",E52/E53*1000,IF('1-Informations-paramètres '!$C$10="en euros",E52/E53,IF('1-Informations-paramètres '!$C$10="en millions d'euros",E52/E53*1000000,0))),0)</f>
        <v>0</v>
      </c>
      <c r="G54" s="81">
        <f>IFERROR(IF('1-Informations-paramètres '!$C$10="en milliers d'euros",G52/G53*1000,IF('1-Informations-paramètres '!$C$10="en euros",G52/G53,IF('1-Informations-paramètres '!$C$10="en millions d'euros",G52/G53*1000000,0))),0)</f>
        <v>0</v>
      </c>
      <c r="H54" s="57">
        <f>IFERROR(IF('1-Informations-paramètres '!$C$10="en milliers d'euros",H52/H53*1000,IF('1-Informations-paramètres '!$C$10="en euros",H52/H53,IF('1-Informations-paramètres '!$C$10="en millions d'euros",H52/H53*1000000,0))),0)</f>
        <v>0</v>
      </c>
      <c r="I54" s="57">
        <f>IFERROR(IF('1-Informations-paramètres '!$C$10="en milliers d'euros",I52/I53*1000,IF('1-Informations-paramètres '!$C$10="en euros",I52/I53,IF('1-Informations-paramètres '!$C$10="en millions d'euros",I52/I53*1000000,0))),0)</f>
        <v>0</v>
      </c>
      <c r="J54" s="57">
        <f>IFERROR(IF('1-Informations-paramètres '!$C$10="en milliers d'euros",J52/J53*1000,IF('1-Informations-paramètres '!$C$10="en euros",J52/J53,IF('1-Informations-paramètres '!$C$10="en millions d'euros",J52/J53*1000000,0))),0)</f>
        <v>0</v>
      </c>
      <c r="K54" s="57">
        <f>IFERROR(IF('1-Informations-paramètres '!$C$10="en milliers d'euros",K52/K53*1000,IF('1-Informations-paramètres '!$C$10="en euros",K52/K53,IF('1-Informations-paramètres '!$C$10="en millions d'euros",K52/K53*1000000,0))),0)</f>
        <v>0</v>
      </c>
      <c r="L54" s="51">
        <f>IFERROR(IF('1-Informations-paramètres '!$C$10="en milliers d'euros",L52/L53*1000,IF('1-Informations-paramètres '!$C$10="en euros",L52/L53,IF('1-Informations-paramètres '!$C$10="en millions d'euros",L52/L53*1000000,0))),0)</f>
        <v>0</v>
      </c>
      <c r="N54" s="91">
        <f t="shared" si="8"/>
        <v>0</v>
      </c>
      <c r="P54" s="91">
        <f>-IFERROR((INDEX(B54:L54, MATCH('1-Informations-paramètres '!C$50, $B$14:$L$14, 0)) - INDEX(B54:L54, MATCH('1-Informations-paramètres '!C$51, $B$14:$L$14, 0))) / INDEX(B54:E54, MATCH('1-Informations-paramètres '!C$50, $B$14:$L$14, 0)), "0")</f>
        <v>0</v>
      </c>
    </row>
    <row r="55" spans="1:16" ht="15.65" customHeight="1" thickBot="1" x14ac:dyDescent="0.5">
      <c r="A55" s="296" t="s">
        <v>58</v>
      </c>
      <c r="B55" s="320">
        <f>IFERROR(B52/'2-Section de Fonctionnement'!C48,0)</f>
        <v>0</v>
      </c>
      <c r="C55" s="320">
        <f>IFERROR(C52/'2-Section de Fonctionnement'!D48,0)</f>
        <v>0</v>
      </c>
      <c r="D55" s="320">
        <f>IFERROR(D52/'2-Section de Fonctionnement'!E48,0)</f>
        <v>0</v>
      </c>
      <c r="E55" s="321">
        <f>IFERROR(E52/'2-Section de Fonctionnement'!F48,0)</f>
        <v>0</v>
      </c>
      <c r="F55" s="140"/>
      <c r="G55" s="307">
        <f>IFERROR(G52/'2-Section de Fonctionnement'!H48,0)</f>
        <v>0</v>
      </c>
      <c r="H55" s="308">
        <f>IFERROR(H52/'2-Section de Fonctionnement'!I48,0)</f>
        <v>0</v>
      </c>
      <c r="I55" s="308">
        <f>IFERROR(I52/'2-Section de Fonctionnement'!J48,0)</f>
        <v>0</v>
      </c>
      <c r="J55" s="308">
        <f>IFERROR(J52/'2-Section de Fonctionnement'!K48,0)</f>
        <v>0</v>
      </c>
      <c r="K55" s="308">
        <f>IFERROR(K52/'2-Section de Fonctionnement'!L48,0)</f>
        <v>0</v>
      </c>
      <c r="L55" s="309">
        <f>IFERROR(L52/'2-Section de Fonctionnement'!M48,0)</f>
        <v>0</v>
      </c>
      <c r="N55" s="251">
        <f t="shared" si="8"/>
        <v>0</v>
      </c>
      <c r="P55" s="251">
        <f>-IFERROR((INDEX(B55:L55, MATCH('1-Informations-paramètres '!C$50, $B$14:$L$14, 0)) - INDEX(B55:L55, MATCH('1-Informations-paramètres '!C$51, $B$14:$L$14, 0))) / INDEX(B55:E55, MATCH('1-Informations-paramètres '!C$50, $B$14:$L$14, 0)), "0")</f>
        <v>0</v>
      </c>
    </row>
    <row r="56" spans="1:16" ht="16.5" thickBot="1" x14ac:dyDescent="0.5">
      <c r="A56" s="313" t="s">
        <v>59</v>
      </c>
      <c r="B56" s="311">
        <f>B15-B16</f>
        <v>0</v>
      </c>
      <c r="C56" s="311">
        <f>B56+C15-C16</f>
        <v>0</v>
      </c>
      <c r="D56" s="311">
        <f>C56+D15-D16</f>
        <v>0</v>
      </c>
      <c r="E56" s="311">
        <f>D56+E15-E16</f>
        <v>0</v>
      </c>
      <c r="F56" s="88"/>
      <c r="G56" s="310">
        <f>E56+G15-G16</f>
        <v>0</v>
      </c>
      <c r="H56" s="311">
        <f>G56+H15-H16</f>
        <v>0</v>
      </c>
      <c r="I56" s="311">
        <f>H56+I15-I16</f>
        <v>0</v>
      </c>
      <c r="J56" s="311">
        <f>I56+J15-J16</f>
        <v>0</v>
      </c>
      <c r="K56" s="311">
        <f>J56+K15-K16</f>
        <v>0</v>
      </c>
      <c r="L56" s="312">
        <f>K56+L15-L16</f>
        <v>0</v>
      </c>
    </row>
    <row r="58" spans="1:16" hidden="1" x14ac:dyDescent="0.45">
      <c r="A58" s="40" t="s">
        <v>30</v>
      </c>
      <c r="G58" s="41"/>
    </row>
    <row r="59" spans="1:16" hidden="1" x14ac:dyDescent="0.45">
      <c r="A59" s="40" t="s">
        <v>31</v>
      </c>
      <c r="G59" s="41"/>
    </row>
    <row r="60" spans="1:16" x14ac:dyDescent="0.45">
      <c r="E60" s="41"/>
      <c r="G60" s="41"/>
      <c r="J60" s="41"/>
    </row>
    <row r="61" spans="1:16" x14ac:dyDescent="0.45">
      <c r="C61" s="41"/>
    </row>
  </sheetData>
  <sheetProtection algorithmName="SHA-512" hashValue="dqpPA92/CN4Q3K2C4xgPNsh1FGsDgxryKZJrUUD8QT3W876moK+nxRuUIGiIiNIOMPm6YvisgXswLPP/IReztg==" saltValue="lfHbfHJtrgdktrWK279k3Q==" spinCount="100000" sheet="1" objects="1" scenarios="1"/>
  <mergeCells count="11">
    <mergeCell ref="A51:L51"/>
    <mergeCell ref="A45:L45"/>
    <mergeCell ref="N44:N45"/>
    <mergeCell ref="P44:P45"/>
    <mergeCell ref="C41:E41"/>
    <mergeCell ref="A1:P1"/>
    <mergeCell ref="B12:E12"/>
    <mergeCell ref="G12:L12"/>
    <mergeCell ref="A26:K26"/>
    <mergeCell ref="A2:M2"/>
    <mergeCell ref="F14:F15"/>
  </mergeCells>
  <dataValidations xWindow="432" yWindow="399" count="3">
    <dataValidation type="decimal" operator="greaterThanOrEqual" allowBlank="1" showErrorMessage="1" errorTitle="Attention" error="Le nombre saisi doit être suppérieur ou égale à zéro." promptTitle="Attention" prompt="Le nombre saisit doit être suppérieur à zéro" sqref="B4:B5" xr:uid="{C30B7F71-A285-4ED7-A1CC-FADF86100678}">
      <formula1>0</formula1>
    </dataValidation>
    <dataValidation type="list" errorStyle="warning" showErrorMessage="1" errorTitle="Eligible FCTVA" error="Saisir &quot;Oui&quot; ou &quot;Non&quot; " promptTitle="Eligible FCTVA" prompt="Saisir &quot;Oui&quot; ou &quot;Non&quot; " sqref="F17:F25" xr:uid="{407AC1B3-5B06-4B10-B2CC-5673C925A94C}">
      <formula1>$A$58:$A$59</formula1>
    </dataValidation>
    <dataValidation allowBlank="1" showInputMessage="1" showErrorMessage="1" sqref="P44" xr:uid="{A895725B-C1CB-4EEF-BC99-4DD50969A21B}"/>
  </dataValidations>
  <pageMargins left="0.7" right="0.7" top="0.75" bottom="0.75" header="0.3" footer="0.3"/>
  <pageSetup paperSize="8" scale="77" orientation="landscape" r:id="rId1"/>
  <ignoredErrors>
    <ignoredError sqref="G15 H15:L15" unlockedFormula="1"/>
  </ignoredErrors>
  <drawing r:id="rId2"/>
  <extLst>
    <ext xmlns:x14="http://schemas.microsoft.com/office/spreadsheetml/2009/9/main" uri="{78C0D931-6437-407d-A8EE-F0AAD7539E65}">
      <x14:conditionalFormattings>
        <x14:conditionalFormatting xmlns:xm="http://schemas.microsoft.com/office/excel/2006/main">
          <x14:cfRule type="iconSet" priority="1" id="{836588CF-2AB3-4841-8BB7-AC78D3587E3C}">
            <x14:iconSet iconSet="5Arrows" custom="1">
              <x14:cfvo type="percent">
                <xm:f>0</xm:f>
              </x14:cfvo>
              <x14:cfvo type="num">
                <xm:f>0</xm:f>
              </x14:cfvo>
              <x14:cfvo type="num">
                <xm:f>5</xm:f>
              </x14:cfvo>
              <x14:cfvo type="num">
                <xm:f>8</xm:f>
              </x14:cfvo>
              <x14:cfvo type="num">
                <xm:f>12</xm:f>
              </x14:cfvo>
              <x14:cfIcon iconSet="3Symbols" iconId="0"/>
              <x14:cfIcon iconSet="3Flags" iconId="2"/>
              <x14:cfIcon iconSet="3Flags" iconId="1"/>
              <x14:cfIcon iconSet="3Symbols2" iconId="1"/>
              <x14:cfIcon iconSet="3Flags" iconId="0"/>
            </x14:iconSet>
          </x14:cfRule>
          <xm:sqref>B55:E55 G55:L55</xm:sqref>
        </x14:conditionalFormatting>
      </x14:conditionalFormattings>
    </ext>
    <ext xmlns:x14="http://schemas.microsoft.com/office/spreadsheetml/2009/9/main" uri="{CCE6A557-97BC-4b89-ADB6-D9C93CAAB3DF}">
      <x14:dataValidations xmlns:xm="http://schemas.microsoft.com/office/excel/2006/main" xWindow="432" yWindow="399" count="6">
        <x14:dataValidation type="list" allowBlank="1" showInputMessage="1" showErrorMessage="1" errorTitle="Saisie non conforme" error="Vous devez choisir une entrée parmis la liste déroulante (en cliquant sur la flêche à droite de la cellule)._x000a_Cette liste peut être modifiée dans dans l'onglet &quot;1-Informations et paramétrages&quot;." xr:uid="{A3D3A98B-6EA3-4AAE-83C5-F915452DA29E}">
          <x14:formula1>
            <xm:f>'1-Informations-paramètres '!$B$39:$B$47</xm:f>
          </x14:formula1>
          <xm:sqref>A17:A24</xm:sqref>
        </x14:dataValidation>
        <x14:dataValidation type="list" allowBlank="1" showInputMessage="1" showErrorMessage="1" errorTitle="Saisie non conforme" error="Vous devez choisir une entrée parmis la liste déroulante (en cliquant sur la flêche à droite de la cellule)._x000a_Cette liste peut être modifiée dans dans l'onglet &quot;1-Informations et paramétrages&quot;." xr:uid="{7D66EBFD-7FCD-4DB7-B606-1722A06E6E29}">
          <x14:formula1>
            <xm:f>'1-Informations-paramètres '!$D$40:$D$47</xm:f>
          </x14:formula1>
          <xm:sqref>A31:A37</xm:sqref>
        </x14:dataValidation>
        <x14:dataValidation type="list" allowBlank="1" showInputMessage="1" showErrorMessage="1" xr:uid="{EFD79405-553B-425A-B356-136AA9F5FEE6}">
          <x14:formula1>
            <xm:f>'1-Informations-paramètres '!$B$38</xm:f>
          </x14:formula1>
          <xm:sqref>A16</xm:sqref>
        </x14:dataValidation>
        <x14:dataValidation type="list" allowBlank="1" showInputMessage="1" showErrorMessage="1" xr:uid="{100FFE3E-C963-49DA-9416-A6B492B4FA60}">
          <x14:formula1>
            <xm:f>'1-Informations-paramètres '!$D$38</xm:f>
          </x14:formula1>
          <xm:sqref>A30</xm:sqref>
        </x14:dataValidation>
        <x14:dataValidation type="list" allowBlank="1" showInputMessage="1" showErrorMessage="1" xr:uid="{FD8E6F88-469B-4445-ACE9-3757EB173223}">
          <x14:formula1>
            <xm:f>'1-Informations-paramètres '!$D$47</xm:f>
          </x14:formula1>
          <xm:sqref>A39</xm:sqref>
        </x14:dataValidation>
        <x14:dataValidation type="list" allowBlank="1" showInputMessage="1" showErrorMessage="1" xr:uid="{39CEDE3F-2035-41A9-96F2-7FC0FFFFAE65}">
          <x14:formula1>
            <xm:f>'1-Informations-paramètres '!$D$39</xm:f>
          </x14:formula1>
          <xm:sqref>A38</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646054-3651-4860-B049-7F6E0D4561E1}">
  <sheetPr codeName="Feuil5">
    <pageSetUpPr fitToPage="1"/>
  </sheetPr>
  <dimension ref="A1:K51"/>
  <sheetViews>
    <sheetView zoomScale="85" zoomScaleNormal="85" workbookViewId="0">
      <selection activeCell="F6" sqref="F6"/>
    </sheetView>
  </sheetViews>
  <sheetFormatPr baseColWidth="10" defaultColWidth="11.54296875" defaultRowHeight="16.5" x14ac:dyDescent="0.45"/>
  <cols>
    <col min="1" max="1" width="60.1796875" style="1" customWidth="1"/>
    <col min="2" max="10" width="10.7265625" style="1" customWidth="1"/>
    <col min="11" max="11" width="9.7265625" style="1" customWidth="1"/>
    <col min="12" max="16384" width="11.54296875" style="1"/>
  </cols>
  <sheetData>
    <row r="1" spans="1:11" ht="21.5" thickBot="1" x14ac:dyDescent="0.6">
      <c r="A1" s="552" t="s">
        <v>102</v>
      </c>
      <c r="B1" s="553"/>
      <c r="C1" s="553"/>
      <c r="D1" s="553"/>
      <c r="E1" s="553"/>
      <c r="F1" s="553"/>
      <c r="G1" s="553"/>
      <c r="H1" s="553"/>
      <c r="I1" s="553"/>
      <c r="J1" s="553"/>
      <c r="K1" s="553"/>
    </row>
    <row r="2" spans="1:11" x14ac:dyDescent="0.45">
      <c r="A2" s="604" t="str">
        <f>"Les montants ci-dessous sont exprimés " &amp; '1-Informations-paramètres '!C10</f>
        <v xml:space="preserve">Les montants ci-dessous sont exprimés </v>
      </c>
      <c r="B2" s="604"/>
      <c r="C2" s="604"/>
      <c r="D2" s="604"/>
      <c r="E2" s="604"/>
      <c r="F2" s="604"/>
      <c r="G2" s="604"/>
      <c r="H2" s="604"/>
      <c r="I2" s="604"/>
      <c r="J2" s="604"/>
    </row>
    <row r="3" spans="1:11" ht="17" thickBot="1" x14ac:dyDescent="0.5">
      <c r="B3" s="124"/>
    </row>
    <row r="4" spans="1:11" ht="17" thickBot="1" x14ac:dyDescent="0.5">
      <c r="B4" s="599" t="s">
        <v>25</v>
      </c>
      <c r="C4" s="600"/>
      <c r="D4" s="600"/>
      <c r="E4" s="601"/>
      <c r="F4" s="602" t="s">
        <v>26</v>
      </c>
      <c r="G4" s="602"/>
      <c r="H4" s="602"/>
      <c r="I4" s="602"/>
      <c r="J4" s="602"/>
      <c r="K4" s="603"/>
    </row>
    <row r="5" spans="1:11" ht="17" x14ac:dyDescent="0.5">
      <c r="A5" s="253" t="s">
        <v>60</v>
      </c>
      <c r="B5" s="254">
        <f>'1-Informations-paramètres '!C8:C8</f>
        <v>0</v>
      </c>
      <c r="C5" s="255">
        <f t="shared" ref="C5:K5" si="0">B5+1</f>
        <v>1</v>
      </c>
      <c r="D5" s="255">
        <f t="shared" si="0"/>
        <v>2</v>
      </c>
      <c r="E5" s="256">
        <f t="shared" si="0"/>
        <v>3</v>
      </c>
      <c r="F5" s="257">
        <f t="shared" si="0"/>
        <v>4</v>
      </c>
      <c r="G5" s="255">
        <f t="shared" si="0"/>
        <v>5</v>
      </c>
      <c r="H5" s="255">
        <f t="shared" si="0"/>
        <v>6</v>
      </c>
      <c r="I5" s="255">
        <f t="shared" si="0"/>
        <v>7</v>
      </c>
      <c r="J5" s="255">
        <f t="shared" si="0"/>
        <v>8</v>
      </c>
      <c r="K5" s="256">
        <f t="shared" si="0"/>
        <v>9</v>
      </c>
    </row>
    <row r="6" spans="1:11" x14ac:dyDescent="0.45">
      <c r="A6" s="207" t="s">
        <v>61</v>
      </c>
      <c r="B6" s="209">
        <f>'4-Section d''Investissement'!B16</f>
        <v>0</v>
      </c>
      <c r="C6" s="159">
        <f>'4-Section d''Investissement'!C16</f>
        <v>0</v>
      </c>
      <c r="D6" s="159">
        <f>'4-Section d''Investissement'!D16</f>
        <v>0</v>
      </c>
      <c r="E6" s="262">
        <f>'4-Section d''Investissement'!E16</f>
        <v>0</v>
      </c>
      <c r="F6" s="263"/>
      <c r="G6" s="264"/>
      <c r="H6" s="265"/>
      <c r="I6" s="264"/>
      <c r="J6" s="264"/>
      <c r="K6" s="266"/>
    </row>
    <row r="7" spans="1:11" ht="17" thickBot="1" x14ac:dyDescent="0.5">
      <c r="A7" s="208" t="s">
        <v>62</v>
      </c>
      <c r="B7" s="210">
        <f>'2-Section de Fonctionnement'!C12</f>
        <v>0</v>
      </c>
      <c r="C7" s="160">
        <f>'2-Section de Fonctionnement'!D12</f>
        <v>0</v>
      </c>
      <c r="D7" s="160">
        <f>'2-Section de Fonctionnement'!E12</f>
        <v>0</v>
      </c>
      <c r="E7" s="267">
        <f>'2-Section de Fonctionnement'!F12</f>
        <v>0</v>
      </c>
      <c r="F7" s="268"/>
      <c r="G7" s="269"/>
      <c r="H7" s="269"/>
      <c r="I7" s="269"/>
      <c r="J7" s="269"/>
      <c r="K7" s="270"/>
    </row>
    <row r="8" spans="1:11" s="3" customFormat="1" ht="17" thickBot="1" x14ac:dyDescent="0.5">
      <c r="A8" s="2"/>
      <c r="B8" s="2"/>
      <c r="C8" s="2"/>
      <c r="D8" s="2"/>
      <c r="E8" s="2"/>
      <c r="F8" s="2"/>
      <c r="G8" s="2"/>
      <c r="H8" s="2"/>
      <c r="I8" s="2"/>
      <c r="J8" s="2"/>
    </row>
    <row r="9" spans="1:11" ht="17" x14ac:dyDescent="0.5">
      <c r="A9" s="261" t="s">
        <v>63</v>
      </c>
      <c r="B9" s="587"/>
      <c r="C9" s="588"/>
      <c r="D9" s="588"/>
      <c r="E9" s="589"/>
      <c r="F9" s="258">
        <f>E5+1</f>
        <v>4</v>
      </c>
      <c r="G9" s="259">
        <f>F9+1</f>
        <v>5</v>
      </c>
      <c r="H9" s="259">
        <f>G9+1</f>
        <v>6</v>
      </c>
      <c r="I9" s="259">
        <f>H9+1</f>
        <v>7</v>
      </c>
      <c r="J9" s="259">
        <f>I9+1</f>
        <v>8</v>
      </c>
      <c r="K9" s="260">
        <f>J9+1</f>
        <v>9</v>
      </c>
    </row>
    <row r="10" spans="1:11" ht="16.5" hidden="1" customHeight="1" x14ac:dyDescent="0.45">
      <c r="A10" s="142" t="s">
        <v>64</v>
      </c>
      <c r="B10" s="590"/>
      <c r="C10" s="591"/>
      <c r="D10" s="591"/>
      <c r="E10" s="592"/>
      <c r="F10" s="143">
        <f>'4-Section d''Investissement'!G47</f>
        <v>0</v>
      </c>
      <c r="G10" s="21">
        <f>'4-Section d''Investissement'!H47</f>
        <v>0</v>
      </c>
      <c r="H10" s="20">
        <f>'4-Section d''Investissement'!I47</f>
        <v>0</v>
      </c>
      <c r="I10" s="20">
        <f>'4-Section d''Investissement'!J47</f>
        <v>0</v>
      </c>
      <c r="J10" s="20">
        <f>'4-Section d''Investissement'!K47</f>
        <v>0</v>
      </c>
      <c r="K10" s="22">
        <f>'4-Section d''Investissement'!L47</f>
        <v>0</v>
      </c>
    </row>
    <row r="11" spans="1:11" ht="16.5" hidden="1" customHeight="1" x14ac:dyDescent="0.45">
      <c r="A11" s="142" t="s">
        <v>65</v>
      </c>
      <c r="B11" s="590"/>
      <c r="C11" s="591"/>
      <c r="D11" s="591"/>
      <c r="E11" s="592"/>
      <c r="F11" s="143">
        <f>'4-Section d''Investissement'!G46</f>
        <v>0</v>
      </c>
      <c r="G11" s="21">
        <f>'4-Section d''Investissement'!H46</f>
        <v>0</v>
      </c>
      <c r="H11" s="20">
        <f>'4-Section d''Investissement'!I46</f>
        <v>0</v>
      </c>
      <c r="I11" s="20">
        <f>'4-Section d''Investissement'!J46</f>
        <v>0</v>
      </c>
      <c r="J11" s="20">
        <f>'4-Section d''Investissement'!K46</f>
        <v>0</v>
      </c>
      <c r="K11" s="22">
        <f>'4-Section d''Investissement'!L46</f>
        <v>0</v>
      </c>
    </row>
    <row r="12" spans="1:11" x14ac:dyDescent="0.45">
      <c r="A12" s="361" t="s">
        <v>66</v>
      </c>
      <c r="B12" s="590"/>
      <c r="C12" s="591"/>
      <c r="D12" s="591"/>
      <c r="E12" s="592"/>
      <c r="F12" s="358"/>
      <c r="G12" s="359"/>
      <c r="H12" s="359"/>
      <c r="I12" s="359"/>
      <c r="J12" s="359"/>
      <c r="K12" s="360"/>
    </row>
    <row r="13" spans="1:11" ht="16.5" hidden="1" customHeight="1" x14ac:dyDescent="0.45">
      <c r="A13" s="356" t="s">
        <v>67</v>
      </c>
      <c r="B13" s="590"/>
      <c r="C13" s="591"/>
      <c r="D13" s="591"/>
      <c r="E13" s="592"/>
      <c r="F13" s="357">
        <f t="shared" ref="F13:K13" si="1">+F10-F11+F12</f>
        <v>0</v>
      </c>
      <c r="G13" s="59">
        <f t="shared" si="1"/>
        <v>0</v>
      </c>
      <c r="H13" s="59">
        <f t="shared" si="1"/>
        <v>0</v>
      </c>
      <c r="I13" s="59">
        <f t="shared" si="1"/>
        <v>0</v>
      </c>
      <c r="J13" s="59">
        <f t="shared" si="1"/>
        <v>0</v>
      </c>
      <c r="K13" s="60">
        <f t="shared" si="1"/>
        <v>0</v>
      </c>
    </row>
    <row r="14" spans="1:11" x14ac:dyDescent="0.45">
      <c r="A14" s="161" t="s">
        <v>68</v>
      </c>
      <c r="B14" s="590"/>
      <c r="C14" s="591"/>
      <c r="D14" s="591"/>
      <c r="E14" s="592"/>
      <c r="F14" s="368">
        <f t="shared" ref="F14:K14" si="2">IFERROR(IF(F13&gt;0,F13,0),0)</f>
        <v>0</v>
      </c>
      <c r="G14" s="300">
        <f t="shared" si="2"/>
        <v>0</v>
      </c>
      <c r="H14" s="300">
        <f t="shared" si="2"/>
        <v>0</v>
      </c>
      <c r="I14" s="300">
        <f t="shared" si="2"/>
        <v>0</v>
      </c>
      <c r="J14" s="300">
        <f t="shared" si="2"/>
        <v>0</v>
      </c>
      <c r="K14" s="304">
        <f t="shared" si="2"/>
        <v>0</v>
      </c>
    </row>
    <row r="15" spans="1:11" x14ac:dyDescent="0.45">
      <c r="A15" s="162" t="s">
        <v>69</v>
      </c>
      <c r="B15" s="590"/>
      <c r="C15" s="591"/>
      <c r="D15" s="591"/>
      <c r="E15" s="592"/>
      <c r="F15" s="362"/>
      <c r="G15" s="363"/>
      <c r="H15" s="363"/>
      <c r="I15" s="363"/>
      <c r="J15" s="363"/>
      <c r="K15" s="364"/>
    </row>
    <row r="16" spans="1:11" ht="17" thickBot="1" x14ac:dyDescent="0.5">
      <c r="A16" s="163" t="s">
        <v>70</v>
      </c>
      <c r="B16" s="593"/>
      <c r="C16" s="594"/>
      <c r="D16" s="594"/>
      <c r="E16" s="595"/>
      <c r="F16" s="365"/>
      <c r="G16" s="366"/>
      <c r="H16" s="366"/>
      <c r="I16" s="366"/>
      <c r="J16" s="366"/>
      <c r="K16" s="367"/>
    </row>
    <row r="17" spans="1:11" ht="17" thickBot="1" x14ac:dyDescent="0.5">
      <c r="A17" s="29"/>
      <c r="B17" s="2"/>
      <c r="C17" s="2"/>
      <c r="D17" s="2"/>
      <c r="E17" s="2"/>
      <c r="F17" s="2"/>
      <c r="G17" s="3"/>
    </row>
    <row r="18" spans="1:11" hidden="1" x14ac:dyDescent="0.45">
      <c r="A18" s="605" t="s">
        <v>71</v>
      </c>
      <c r="B18" s="606"/>
      <c r="C18" s="606"/>
      <c r="D18" s="606"/>
      <c r="E18" s="606"/>
      <c r="F18" s="607"/>
      <c r="G18" s="3"/>
    </row>
    <row r="19" spans="1:11" hidden="1" x14ac:dyDescent="0.45">
      <c r="A19" s="8">
        <f>F9</f>
        <v>4</v>
      </c>
      <c r="B19" s="323"/>
      <c r="C19" s="323">
        <f>IFERROR($F$14-($F$14/$F$15),0)</f>
        <v>0</v>
      </c>
      <c r="D19" s="323">
        <f>IFERROR(C19-($F$14/$F$15),0)</f>
        <v>0</v>
      </c>
      <c r="E19" s="323">
        <f>IFERROR(D19-($F$14/$F$15),0)</f>
        <v>0</v>
      </c>
      <c r="F19" s="324">
        <f>IFERROR(E19-($F$14/$F$15),0)</f>
        <v>0</v>
      </c>
      <c r="G19" s="3"/>
    </row>
    <row r="20" spans="1:11" hidden="1" x14ac:dyDescent="0.45">
      <c r="A20" s="8">
        <f>G9</f>
        <v>5</v>
      </c>
      <c r="B20" s="323"/>
      <c r="C20" s="323"/>
      <c r="D20" s="323">
        <f>IFERROR($G$14-($G$14/$G$15),0)</f>
        <v>0</v>
      </c>
      <c r="E20" s="323">
        <f>IFERROR(D20-($G$14/$G$15),0)</f>
        <v>0</v>
      </c>
      <c r="F20" s="324">
        <f>IFERROR(E20-($G$14/$G$15),0)</f>
        <v>0</v>
      </c>
      <c r="G20" s="3"/>
    </row>
    <row r="21" spans="1:11" hidden="1" x14ac:dyDescent="0.45">
      <c r="A21" s="8">
        <f>H9</f>
        <v>6</v>
      </c>
      <c r="B21" s="323"/>
      <c r="C21" s="323"/>
      <c r="D21" s="323"/>
      <c r="E21" s="323">
        <f>IFERROR($H$14-($H$14/$H$15),0)</f>
        <v>0</v>
      </c>
      <c r="F21" s="324">
        <f>IFERROR(E21-($H$14/$H$15),0)</f>
        <v>0</v>
      </c>
      <c r="G21" s="3"/>
    </row>
    <row r="22" spans="1:11" hidden="1" x14ac:dyDescent="0.45">
      <c r="A22" s="8">
        <f>I9</f>
        <v>7</v>
      </c>
      <c r="B22" s="323"/>
      <c r="C22" s="323"/>
      <c r="D22" s="323"/>
      <c r="E22" s="323"/>
      <c r="F22" s="324">
        <f>IFERROR($I$14-($I$14/$I$15),0)</f>
        <v>0</v>
      </c>
      <c r="G22" s="3"/>
    </row>
    <row r="23" spans="1:11" hidden="1" x14ac:dyDescent="0.45">
      <c r="A23" s="9">
        <f>J9</f>
        <v>8</v>
      </c>
      <c r="B23" s="325"/>
      <c r="C23" s="325"/>
      <c r="D23" s="325"/>
      <c r="E23" s="325"/>
      <c r="F23" s="326"/>
      <c r="G23" s="3"/>
    </row>
    <row r="24" spans="1:11" hidden="1" x14ac:dyDescent="0.45">
      <c r="A24" s="3"/>
      <c r="B24" s="3"/>
      <c r="C24" s="3"/>
      <c r="D24" s="3"/>
      <c r="E24" s="3"/>
      <c r="F24" s="3"/>
      <c r="G24" s="3"/>
    </row>
    <row r="25" spans="1:11" hidden="1" x14ac:dyDescent="0.45">
      <c r="A25" s="10" t="s">
        <v>72</v>
      </c>
      <c r="B25" s="11">
        <f>F9</f>
        <v>4</v>
      </c>
      <c r="C25" s="11">
        <f>B25+1</f>
        <v>5</v>
      </c>
      <c r="D25" s="11">
        <f>C25+1</f>
        <v>6</v>
      </c>
      <c r="E25" s="12">
        <f>D25+1</f>
        <v>7</v>
      </c>
      <c r="F25" s="12">
        <f>E25+1</f>
        <v>8</v>
      </c>
      <c r="G25" s="12">
        <f>F25+1</f>
        <v>9</v>
      </c>
    </row>
    <row r="26" spans="1:11" hidden="1" x14ac:dyDescent="0.45">
      <c r="A26" s="7" t="s">
        <v>73</v>
      </c>
      <c r="B26" s="327"/>
      <c r="C26" s="328">
        <f>IFERROR((F14/F15),0)</f>
        <v>0</v>
      </c>
      <c r="D26" s="328">
        <f>IFERROR((F14/F15)+(G14/G15),0)</f>
        <v>0</v>
      </c>
      <c r="E26" s="329">
        <f>IFERROR((F14/F15)+(G14/G15)+(H14/H15),0)</f>
        <v>0</v>
      </c>
      <c r="F26" s="329">
        <f>IFERROR((F14/F15)+(G14/G15)+(H14/H15)+(I14/I15),0)</f>
        <v>0</v>
      </c>
      <c r="G26" s="329">
        <f>IFERROR((F14/F15)+(G14/G15)+(H14/H15)+(I14/I15)+(J14/J15),0)</f>
        <v>0</v>
      </c>
    </row>
    <row r="27" spans="1:11" hidden="1" x14ac:dyDescent="0.45">
      <c r="A27" s="13" t="s">
        <v>74</v>
      </c>
      <c r="B27" s="330"/>
      <c r="C27" s="331">
        <f>IFERROR((F14*F16),0)</f>
        <v>0</v>
      </c>
      <c r="D27" s="331">
        <f>IFERROR((C19*$F$16)+(G14*G16),0)</f>
        <v>0</v>
      </c>
      <c r="E27" s="332">
        <f>IFERROR((H14*H16)+(D19*F16)+(D20*G16),0)</f>
        <v>0</v>
      </c>
      <c r="F27" s="332">
        <f>IFERROR((I14*I16)+(E19*F16)+(E20*G16)+(E21*H16),0)</f>
        <v>0</v>
      </c>
      <c r="G27" s="332">
        <f>IFERROR((J14*J16)+((F19*F16)+(F20*G16)+(F21*H16)+(F22*I16)),0)</f>
        <v>0</v>
      </c>
    </row>
    <row r="28" spans="1:11" ht="17" hidden="1" thickBot="1" x14ac:dyDescent="0.5">
      <c r="A28" s="3"/>
      <c r="B28" s="3"/>
      <c r="C28" s="3"/>
      <c r="D28" s="3"/>
      <c r="E28" s="3"/>
      <c r="F28" s="3"/>
      <c r="G28" s="3"/>
    </row>
    <row r="29" spans="1:11" ht="32.25" customHeight="1" x14ac:dyDescent="0.45">
      <c r="A29" s="400" t="s">
        <v>75</v>
      </c>
      <c r="B29" s="608" t="s">
        <v>76</v>
      </c>
      <c r="C29" s="609"/>
      <c r="D29" s="401" t="s">
        <v>119</v>
      </c>
      <c r="E29" s="402"/>
      <c r="F29" s="402"/>
      <c r="G29" s="402"/>
      <c r="H29" s="403"/>
      <c r="I29" s="403"/>
      <c r="J29" s="403"/>
      <c r="K29" s="404"/>
    </row>
    <row r="30" spans="1:11" ht="18" customHeight="1" x14ac:dyDescent="0.45">
      <c r="A30" s="405"/>
      <c r="B30" s="398"/>
      <c r="C30" s="398"/>
      <c r="D30" s="398"/>
      <c r="E30" s="398"/>
      <c r="F30" s="398"/>
      <c r="G30" s="398"/>
      <c r="H30" s="399"/>
      <c r="I30" s="399"/>
      <c r="J30" s="399"/>
      <c r="K30" s="406"/>
    </row>
    <row r="31" spans="1:11" ht="18" customHeight="1" thickBot="1" x14ac:dyDescent="0.5">
      <c r="A31" s="596" t="s">
        <v>92</v>
      </c>
      <c r="B31" s="597"/>
      <c r="C31" s="597"/>
      <c r="D31" s="597"/>
      <c r="E31" s="597"/>
      <c r="F31" s="597"/>
      <c r="G31" s="597"/>
      <c r="H31" s="597"/>
      <c r="I31" s="597"/>
      <c r="J31" s="597"/>
      <c r="K31" s="598"/>
    </row>
    <row r="32" spans="1:11" x14ac:dyDescent="0.45">
      <c r="A32" s="144" t="s">
        <v>77</v>
      </c>
      <c r="B32" s="145">
        <f>B5</f>
        <v>0</v>
      </c>
      <c r="C32" s="145">
        <f t="shared" ref="C32:K32" si="3">B32+1</f>
        <v>1</v>
      </c>
      <c r="D32" s="145">
        <f t="shared" si="3"/>
        <v>2</v>
      </c>
      <c r="E32" s="147">
        <f t="shared" si="3"/>
        <v>3</v>
      </c>
      <c r="F32" s="146">
        <f t="shared" si="3"/>
        <v>4</v>
      </c>
      <c r="G32" s="145">
        <f t="shared" si="3"/>
        <v>5</v>
      </c>
      <c r="H32" s="145">
        <f t="shared" si="3"/>
        <v>6</v>
      </c>
      <c r="I32" s="145">
        <f t="shared" si="3"/>
        <v>7</v>
      </c>
      <c r="J32" s="145">
        <f t="shared" si="3"/>
        <v>8</v>
      </c>
      <c r="K32" s="147">
        <f t="shared" si="3"/>
        <v>9</v>
      </c>
    </row>
    <row r="33" spans="1:11" x14ac:dyDescent="0.45">
      <c r="A33" s="380" t="s">
        <v>78</v>
      </c>
      <c r="B33" s="130">
        <f>B6</f>
        <v>0</v>
      </c>
      <c r="C33" s="130">
        <f>C6</f>
        <v>0</v>
      </c>
      <c r="D33" s="130">
        <f>D6</f>
        <v>0</v>
      </c>
      <c r="E33" s="131">
        <f>E6</f>
        <v>0</v>
      </c>
      <c r="F33" s="129">
        <f t="shared" ref="F33:K33" si="4">F6+B26</f>
        <v>0</v>
      </c>
      <c r="G33" s="130">
        <f>G6+C26</f>
        <v>0</v>
      </c>
      <c r="H33" s="130">
        <f t="shared" si="4"/>
        <v>0</v>
      </c>
      <c r="I33" s="130">
        <f t="shared" si="4"/>
        <v>0</v>
      </c>
      <c r="J33" s="130">
        <f t="shared" si="4"/>
        <v>0</v>
      </c>
      <c r="K33" s="131">
        <f t="shared" si="4"/>
        <v>0</v>
      </c>
    </row>
    <row r="34" spans="1:11" ht="17" thickBot="1" x14ac:dyDescent="0.5">
      <c r="A34" s="385" t="s">
        <v>79</v>
      </c>
      <c r="B34" s="271"/>
      <c r="C34" s="271"/>
      <c r="D34" s="271"/>
      <c r="E34" s="272"/>
      <c r="F34" s="174">
        <f t="shared" ref="F34:K34" si="5">B26</f>
        <v>0</v>
      </c>
      <c r="G34" s="175">
        <f t="shared" si="5"/>
        <v>0</v>
      </c>
      <c r="H34" s="175">
        <f t="shared" si="5"/>
        <v>0</v>
      </c>
      <c r="I34" s="175">
        <f t="shared" si="5"/>
        <v>0</v>
      </c>
      <c r="J34" s="175">
        <f t="shared" si="5"/>
        <v>0</v>
      </c>
      <c r="K34" s="176">
        <f t="shared" si="5"/>
        <v>0</v>
      </c>
    </row>
    <row r="35" spans="1:11" x14ac:dyDescent="0.45">
      <c r="A35" s="381" t="s">
        <v>62</v>
      </c>
      <c r="B35" s="132">
        <f>B7</f>
        <v>0</v>
      </c>
      <c r="C35" s="132">
        <f>C7</f>
        <v>0</v>
      </c>
      <c r="D35" s="132">
        <f>D7</f>
        <v>0</v>
      </c>
      <c r="E35" s="178">
        <f>E7</f>
        <v>0</v>
      </c>
      <c r="F35" s="177">
        <f t="shared" ref="F35:K35" si="6">F7+B27</f>
        <v>0</v>
      </c>
      <c r="G35" s="132">
        <f t="shared" si="6"/>
        <v>0</v>
      </c>
      <c r="H35" s="132">
        <f t="shared" si="6"/>
        <v>0</v>
      </c>
      <c r="I35" s="132">
        <f t="shared" si="6"/>
        <v>0</v>
      </c>
      <c r="J35" s="132">
        <f t="shared" si="6"/>
        <v>0</v>
      </c>
      <c r="K35" s="178">
        <f t="shared" si="6"/>
        <v>0</v>
      </c>
    </row>
    <row r="36" spans="1:11" ht="17" thickBot="1" x14ac:dyDescent="0.5">
      <c r="A36" s="384" t="s">
        <v>79</v>
      </c>
      <c r="B36" s="273"/>
      <c r="C36" s="273"/>
      <c r="D36" s="273"/>
      <c r="E36" s="274"/>
      <c r="F36" s="133">
        <f t="shared" ref="F36:K36" si="7">B27</f>
        <v>0</v>
      </c>
      <c r="G36" s="134">
        <f t="shared" si="7"/>
        <v>0</v>
      </c>
      <c r="H36" s="134">
        <f t="shared" si="7"/>
        <v>0</v>
      </c>
      <c r="I36" s="134">
        <f t="shared" si="7"/>
        <v>0</v>
      </c>
      <c r="J36" s="134">
        <f t="shared" si="7"/>
        <v>0</v>
      </c>
      <c r="K36" s="135">
        <f t="shared" si="7"/>
        <v>0</v>
      </c>
    </row>
    <row r="37" spans="1:11" x14ac:dyDescent="0.45">
      <c r="A37" s="407"/>
      <c r="B37" s="399"/>
      <c r="C37" s="399"/>
      <c r="D37" s="399"/>
      <c r="E37" s="399"/>
      <c r="F37" s="399"/>
      <c r="G37" s="399"/>
      <c r="H37" s="399"/>
      <c r="I37" s="399"/>
      <c r="J37" s="399"/>
      <c r="K37" s="406"/>
    </row>
    <row r="38" spans="1:11" ht="18" thickBot="1" x14ac:dyDescent="0.5">
      <c r="A38" s="596" t="s">
        <v>127</v>
      </c>
      <c r="B38" s="597"/>
      <c r="C38" s="597"/>
      <c r="D38" s="597"/>
      <c r="E38" s="597"/>
      <c r="F38" s="597"/>
      <c r="G38" s="597"/>
      <c r="H38" s="597"/>
      <c r="I38" s="597"/>
      <c r="J38" s="597"/>
      <c r="K38" s="598"/>
    </row>
    <row r="39" spans="1:11" x14ac:dyDescent="0.45">
      <c r="A39" s="314" t="s">
        <v>80</v>
      </c>
      <c r="B39" s="315">
        <f>B32</f>
        <v>0</v>
      </c>
      <c r="C39" s="315">
        <f t="shared" ref="C39:K39" si="8">B39+1</f>
        <v>1</v>
      </c>
      <c r="D39" s="315">
        <f t="shared" si="8"/>
        <v>2</v>
      </c>
      <c r="E39" s="316">
        <f t="shared" si="8"/>
        <v>3</v>
      </c>
      <c r="F39" s="317">
        <f t="shared" si="8"/>
        <v>4</v>
      </c>
      <c r="G39" s="315">
        <f t="shared" si="8"/>
        <v>5</v>
      </c>
      <c r="H39" s="315">
        <f t="shared" si="8"/>
        <v>6</v>
      </c>
      <c r="I39" s="315">
        <f t="shared" si="8"/>
        <v>7</v>
      </c>
      <c r="J39" s="315">
        <f t="shared" si="8"/>
        <v>8</v>
      </c>
      <c r="K39" s="316">
        <f t="shared" si="8"/>
        <v>9</v>
      </c>
    </row>
    <row r="40" spans="1:11" x14ac:dyDescent="0.45">
      <c r="A40" s="382" t="s">
        <v>81</v>
      </c>
      <c r="B40" s="281">
        <f>'4-Section d''Investissement'!B38</f>
        <v>0</v>
      </c>
      <c r="C40" s="281">
        <f>'4-Section d''Investissement'!C38</f>
        <v>0</v>
      </c>
      <c r="D40" s="281">
        <f>'4-Section d''Investissement'!D38</f>
        <v>0</v>
      </c>
      <c r="E40" s="282">
        <f>'4-Section d''Investissement'!E38</f>
        <v>0</v>
      </c>
      <c r="F40" s="171"/>
      <c r="G40" s="172"/>
      <c r="H40" s="172"/>
      <c r="I40" s="172"/>
      <c r="J40" s="172"/>
      <c r="K40" s="173"/>
    </row>
    <row r="41" spans="1:11" x14ac:dyDescent="0.45">
      <c r="A41" s="383" t="s">
        <v>78</v>
      </c>
      <c r="B41" s="283">
        <f>B6</f>
        <v>0</v>
      </c>
      <c r="C41" s="283">
        <f>C6</f>
        <v>0</v>
      </c>
      <c r="D41" s="283">
        <f>D6</f>
        <v>0</v>
      </c>
      <c r="E41" s="284">
        <f>E6</f>
        <v>0</v>
      </c>
      <c r="F41" s="369">
        <f t="shared" ref="F41:K41" si="9">F6+F42</f>
        <v>0</v>
      </c>
      <c r="G41" s="283">
        <f t="shared" si="9"/>
        <v>0</v>
      </c>
      <c r="H41" s="283">
        <f t="shared" si="9"/>
        <v>0</v>
      </c>
      <c r="I41" s="283">
        <f t="shared" si="9"/>
        <v>0</v>
      </c>
      <c r="J41" s="283">
        <f t="shared" si="9"/>
        <v>0</v>
      </c>
      <c r="K41" s="284">
        <f t="shared" si="9"/>
        <v>0</v>
      </c>
    </row>
    <row r="42" spans="1:11" ht="17" thickBot="1" x14ac:dyDescent="0.5">
      <c r="A42" s="385" t="s">
        <v>79</v>
      </c>
      <c r="B42" s="271"/>
      <c r="C42" s="271"/>
      <c r="D42" s="271"/>
      <c r="E42" s="272"/>
      <c r="F42" s="275"/>
      <c r="G42" s="276"/>
      <c r="H42" s="276"/>
      <c r="I42" s="276"/>
      <c r="J42" s="276"/>
      <c r="K42" s="277"/>
    </row>
    <row r="43" spans="1:11" x14ac:dyDescent="0.45">
      <c r="A43" s="381" t="s">
        <v>62</v>
      </c>
      <c r="B43" s="132">
        <f>B7</f>
        <v>0</v>
      </c>
      <c r="C43" s="132">
        <f>C7</f>
        <v>0</v>
      </c>
      <c r="D43" s="132">
        <f>D7</f>
        <v>0</v>
      </c>
      <c r="E43" s="178">
        <f>E7</f>
        <v>0</v>
      </c>
      <c r="F43" s="177">
        <f t="shared" ref="F43:K43" si="10">F7+F44</f>
        <v>0</v>
      </c>
      <c r="G43" s="132">
        <f t="shared" si="10"/>
        <v>0</v>
      </c>
      <c r="H43" s="132">
        <f t="shared" si="10"/>
        <v>0</v>
      </c>
      <c r="I43" s="132">
        <f t="shared" si="10"/>
        <v>0</v>
      </c>
      <c r="J43" s="132">
        <f t="shared" si="10"/>
        <v>0</v>
      </c>
      <c r="K43" s="178">
        <f t="shared" si="10"/>
        <v>0</v>
      </c>
    </row>
    <row r="44" spans="1:11" ht="17" thickBot="1" x14ac:dyDescent="0.5">
      <c r="A44" s="384" t="s">
        <v>79</v>
      </c>
      <c r="B44" s="273"/>
      <c r="C44" s="273"/>
      <c r="D44" s="273"/>
      <c r="E44" s="274"/>
      <c r="F44" s="278"/>
      <c r="G44" s="279"/>
      <c r="H44" s="279"/>
      <c r="I44" s="279"/>
      <c r="J44" s="279"/>
      <c r="K44" s="280"/>
    </row>
    <row r="45" spans="1:11" ht="33" customHeight="1" x14ac:dyDescent="0.45"/>
    <row r="46" spans="1:11" ht="17.25" hidden="1" customHeight="1" thickBot="1" x14ac:dyDescent="0.5">
      <c r="A46" s="1" t="s">
        <v>76</v>
      </c>
    </row>
    <row r="47" spans="1:11" ht="17.25" hidden="1" customHeight="1" thickBot="1" x14ac:dyDescent="0.55000000000000004">
      <c r="A47" s="1" t="s">
        <v>82</v>
      </c>
      <c r="F47" s="6">
        <f>F39</f>
        <v>4</v>
      </c>
      <c r="G47" s="4">
        <f>F47+1</f>
        <v>5</v>
      </c>
      <c r="H47" s="4">
        <f>G47+1</f>
        <v>6</v>
      </c>
      <c r="I47" s="4">
        <f>H47+1</f>
        <v>7</v>
      </c>
      <c r="J47" s="4">
        <f>I47+1</f>
        <v>8</v>
      </c>
      <c r="K47" s="5">
        <f>J47+1</f>
        <v>9</v>
      </c>
    </row>
    <row r="48" spans="1:11" hidden="1" x14ac:dyDescent="0.45">
      <c r="D48" s="14" t="s">
        <v>83</v>
      </c>
      <c r="E48" s="17"/>
      <c r="F48" s="23">
        <f>SUMIFS(F14,$B$29,$A$46)+SUMIFS(F40,$B$29,$A$47)</f>
        <v>0</v>
      </c>
      <c r="G48" s="23">
        <f>SUMIFS(G14,$B$29,$A$46)++SUMIFS(G40,$B$29,$A$47)</f>
        <v>0</v>
      </c>
      <c r="H48" s="23">
        <f>SUMIFS(H14,$B$29,$A$46)++SUMIFS(H40,$B$29,$A$47)</f>
        <v>0</v>
      </c>
      <c r="I48" s="23">
        <f>SUMIFS(I14,$B$29,$A$46)++SUMIFS(I40,$B$29,$A$47)</f>
        <v>0</v>
      </c>
      <c r="J48" s="23">
        <f>SUMIFS(J14,$B$29,$A$46)++SUMIFS(J40,$B$29,$A$47)</f>
        <v>0</v>
      </c>
      <c r="K48" s="24">
        <f>SUMIFS(K14,$B$29,$A$46)++SUMIFS(K40,$B$29,$A$47)</f>
        <v>0</v>
      </c>
    </row>
    <row r="49" spans="4:11" hidden="1" x14ac:dyDescent="0.45">
      <c r="D49" s="15" t="s">
        <v>84</v>
      </c>
      <c r="E49" s="18"/>
      <c r="F49" s="25">
        <f t="shared" ref="F49:K49" si="11">SUMIFS(F33,$B$29,$A$46)+SUMIFS(F41,$B$29,$A$47)</f>
        <v>0</v>
      </c>
      <c r="G49" s="25">
        <f t="shared" si="11"/>
        <v>0</v>
      </c>
      <c r="H49" s="25">
        <f t="shared" si="11"/>
        <v>0</v>
      </c>
      <c r="I49" s="25">
        <f t="shared" si="11"/>
        <v>0</v>
      </c>
      <c r="J49" s="25">
        <f t="shared" si="11"/>
        <v>0</v>
      </c>
      <c r="K49" s="26">
        <f t="shared" si="11"/>
        <v>0</v>
      </c>
    </row>
    <row r="50" spans="4:11" ht="17" hidden="1" thickBot="1" x14ac:dyDescent="0.5">
      <c r="D50" s="16" t="s">
        <v>85</v>
      </c>
      <c r="E50" s="19"/>
      <c r="F50" s="27">
        <f t="shared" ref="F50:K50" si="12">SUMIFS(F35,$B$29,$A$46)++SUMIFS(F43,$B$29,$A$47)</f>
        <v>0</v>
      </c>
      <c r="G50" s="27">
        <f t="shared" si="12"/>
        <v>0</v>
      </c>
      <c r="H50" s="27">
        <f t="shared" si="12"/>
        <v>0</v>
      </c>
      <c r="I50" s="27">
        <f t="shared" si="12"/>
        <v>0</v>
      </c>
      <c r="J50" s="27">
        <f t="shared" si="12"/>
        <v>0</v>
      </c>
      <c r="K50" s="28">
        <f t="shared" si="12"/>
        <v>0</v>
      </c>
    </row>
    <row r="51" spans="4:11" hidden="1" x14ac:dyDescent="0.45"/>
  </sheetData>
  <sheetProtection algorithmName="SHA-512" hashValue="UGMjnk0vg99VjdtqAI7CKaL6ALjTR2UwpsZ7/T35HRKold9aY63TyzOUO4a008TSZgRq9eu3u5Eo2GsXTp+apg==" saltValue="Muq+rbEcyq4C40CKMWHp2g==" spinCount="100000" sheet="1" objects="1"/>
  <mergeCells count="9">
    <mergeCell ref="A1:K1"/>
    <mergeCell ref="B9:E16"/>
    <mergeCell ref="A38:K38"/>
    <mergeCell ref="A31:K31"/>
    <mergeCell ref="B4:E4"/>
    <mergeCell ref="F4:K4"/>
    <mergeCell ref="A2:J2"/>
    <mergeCell ref="A18:F18"/>
    <mergeCell ref="B29:C29"/>
  </mergeCells>
  <conditionalFormatting sqref="B29">
    <cfRule type="containsText" dxfId="1" priority="1" operator="containsText" text="Saisie manuelle">
      <formula>NOT(ISERROR(SEARCH("Saisie manuelle",B29)))</formula>
    </cfRule>
    <cfRule type="containsText" dxfId="0" priority="2" operator="containsText" text="Saisie automatique">
      <formula>NOT(ISERROR(SEARCH("Saisie automatique",B29)))</formula>
    </cfRule>
  </conditionalFormatting>
  <dataValidations count="1">
    <dataValidation type="list" allowBlank="1" showInputMessage="1" showErrorMessage="1" sqref="B45 B29" xr:uid="{CA5BA989-8613-4A02-811A-00B4DF3FD857}">
      <formula1>$A$46:$A$47</formula1>
    </dataValidation>
  </dataValidations>
  <pageMargins left="0.25" right="0.25" top="0.75" bottom="0.75" header="0.3" footer="0.3"/>
  <pageSetup paperSize="9" scale="85" orientation="landscape"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570051-8A93-463A-BC4D-ECE74979FCCE}">
  <sheetPr codeName="Feuil6"/>
  <dimension ref="A1:J75"/>
  <sheetViews>
    <sheetView zoomScale="85" zoomScaleNormal="85" workbookViewId="0">
      <selection activeCell="A26" sqref="A26:D26"/>
    </sheetView>
  </sheetViews>
  <sheetFormatPr baseColWidth="10" defaultColWidth="11.54296875" defaultRowHeight="16.5" x14ac:dyDescent="0.45"/>
  <cols>
    <col min="1" max="1" width="34.1796875" style="93" bestFit="1" customWidth="1"/>
    <col min="2" max="2" width="11.453125" style="93" customWidth="1"/>
    <col min="3" max="3" width="25.1796875" style="93" customWidth="1"/>
    <col min="4" max="4" width="27.54296875" style="93" customWidth="1"/>
    <col min="5" max="5" width="24.26953125" style="93" customWidth="1"/>
    <col min="6" max="16384" width="11.54296875" style="93"/>
  </cols>
  <sheetData>
    <row r="1" spans="1:5" ht="20" x14ac:dyDescent="0.55000000000000004">
      <c r="A1" s="620" t="str">
        <f>"RAPPORT D'ANALYSE FINANCIERE : " &amp;'1-Informations-paramètres '!C7</f>
        <v xml:space="preserve">RAPPORT D'ANALYSE FINANCIERE : </v>
      </c>
      <c r="B1" s="620"/>
      <c r="C1" s="620"/>
      <c r="D1" s="620"/>
    </row>
    <row r="2" spans="1:5" s="427" customFormat="1" ht="16" hidden="1" x14ac:dyDescent="0.45">
      <c r="A2" s="476" t="s">
        <v>86</v>
      </c>
      <c r="B2" s="476" t="s">
        <v>91</v>
      </c>
    </row>
    <row r="3" spans="1:5" s="427" customFormat="1" ht="16" hidden="1" x14ac:dyDescent="0.45">
      <c r="A3" s="476">
        <f>'1-Informations-paramètres '!C10</f>
        <v>0</v>
      </c>
      <c r="B3" s="477" t="str">
        <f>IF(A3="en milliers d'euros","K€",
   IF(A3="en euros","€",
     IF(A3="en millions d'euros","M€","")
   )
)</f>
        <v/>
      </c>
    </row>
    <row r="4" spans="1:5" s="427" customFormat="1" ht="16" hidden="1" x14ac:dyDescent="0.45">
      <c r="A4" s="476" t="s">
        <v>89</v>
      </c>
      <c r="B4" s="477">
        <f>'1-Informations-paramètres '!C15-'4-Section d''Investissement'!E52</f>
        <v>0</v>
      </c>
    </row>
    <row r="5" spans="1:5" hidden="1" x14ac:dyDescent="0.45">
      <c r="A5" s="337"/>
      <c r="B5" s="338"/>
    </row>
    <row r="6" spans="1:5" ht="18.75" customHeight="1" x14ac:dyDescent="0.45">
      <c r="A6" s="613" t="str">
        <f>"Rapport du scénario (" &amp;'1-Informations-paramètres '!C9 &amp;")" &amp;" réalisé à partir de l'outil ElanVision réalisé par ElanRural.fr"</f>
        <v>Rapport du scénario () réalisé à partir de l'outil ElanVision réalisé par ElanRural.fr</v>
      </c>
      <c r="B6" s="613"/>
      <c r="C6" s="613"/>
      <c r="D6" s="613"/>
    </row>
    <row r="7" spans="1:5" ht="21.75" customHeight="1" thickBot="1" x14ac:dyDescent="0.5">
      <c r="A7" s="630" t="str">
        <f>"Les montants ci-dessous sont exprimés " &amp; '1-Informations-paramètres '!C10 &amp;", y compris au sein des graphiques."</f>
        <v>Les montants ci-dessous sont exprimés , y compris au sein des graphiques.</v>
      </c>
      <c r="B7" s="630"/>
      <c r="C7" s="630"/>
      <c r="D7" s="630"/>
    </row>
    <row r="8" spans="1:5" ht="22.5" customHeight="1" x14ac:dyDescent="0.45">
      <c r="A8" s="646" t="str">
        <f>"Partie 1- SANTE FINANCIERE AU 31/12/" &amp;'2-Section de Fonctionnement'!F9 &amp;" (RETROSPECTIVE)"</f>
        <v>Partie 1- SANTE FINANCIERE AU 31/12/3 (RETROSPECTIVE)</v>
      </c>
      <c r="B8" s="647"/>
      <c r="C8" s="647"/>
      <c r="D8" s="648"/>
    </row>
    <row r="9" spans="1:5" ht="17" thickBot="1" x14ac:dyDescent="0.5">
      <c r="A9" s="634" t="str">
        <f>"Les données présentées concernent la période du 01/01/" &amp;'2-Section de Fonctionnement'!C9 &amp;" au 31/12/" &amp;'2-Section de Fonctionnement'!F9 &amp;"."</f>
        <v>Les données présentées concernent la période du 01/01/0 au 31/12/3.</v>
      </c>
      <c r="B9" s="635"/>
      <c r="C9" s="635"/>
      <c r="D9" s="636"/>
    </row>
    <row r="10" spans="1:5" ht="22.5" customHeight="1" x14ac:dyDescent="0.45">
      <c r="A10" s="627" t="s">
        <v>87</v>
      </c>
      <c r="B10" s="628"/>
      <c r="C10" s="628"/>
      <c r="D10" s="629"/>
    </row>
    <row r="11" spans="1:5" s="95" customFormat="1" ht="34.5" customHeight="1" x14ac:dyDescent="0.45">
      <c r="A11" s="624" t="str">
        <f>IFERROR("En " &amp;'2-Section de Fonctionnement'!F9 &amp;", les dépenses réelles de fonctionnement atteignent " &amp;TEXT('2-Section de Fonctionnement'!F10,"# ##0") &amp;B3 &amp;" et les recettes " &amp;TEXT('2-Section de Fonctionnement'!F29,"# ##0") &amp;B3 &amp;".", "Complétez conformément toutes les données nécessaires des onglets précédents afin de pouvoir éditer l'ensemble des éléments du rapport")</f>
        <v>En 3, les dépenses réelles de fonctionnement atteignent 0 et les recettes 0.</v>
      </c>
      <c r="B11" s="625"/>
      <c r="C11" s="625"/>
      <c r="D11" s="626"/>
    </row>
    <row r="12" spans="1:5" s="95" customFormat="1" ht="20.25" customHeight="1" x14ac:dyDescent="0.45">
      <c r="A12" s="624" t="str">
        <f>IFERROR("La section de fonctionnement dégage un autofinancement récurrent de "&amp;TEXT('2-Section de Fonctionnement'!F48,"# ##0")&amp;B3&amp;".","Complétez conformément toutes les données nécessaires des onglets précédents afin de pouvoir éditer l'ensemble des éléments du rapport")</f>
        <v>La section de fonctionnement dégage un autofinancement récurrent de 0.</v>
      </c>
      <c r="B12" s="625"/>
      <c r="C12" s="625"/>
      <c r="D12" s="626"/>
    </row>
    <row r="13" spans="1:5" s="95" customFormat="1" ht="63.75" customHeight="1" x14ac:dyDescent="0.45">
      <c r="A13" s="624" t="str">
        <f>IFERROR(
  "Après remboursement des échéances de la dette, l'autofinancement net (épargne nette), atteint " &amp;
  TEXT('2-Section de Fonctionnement'!F49,"# ##0") &amp;
  B3 &amp; "." &amp;
  IF('2-Section de Fonctionnement'!F49&gt;0,
     " La collectivité dispose donc d'une marge de manœuvre suffisante pour répondre au remboursement de sa dette.",
     IF('2-Section de Fonctionnement'!F49&lt;0,
        " L'autofinancement net est négatif, l'équilibre financier n'est pas atteint. La situation est ainsi préoccupante.",
        ""
     )
  ),
  "Complétez conformément toutes les données nécessaires des onglets précédents afin de pouvoir éditer l'ensemble des éléments du rapport"
)</f>
        <v>Après remboursement des échéances de la dette, l'autofinancement net (épargne nette), atteint 0.</v>
      </c>
      <c r="B13" s="625"/>
      <c r="C13" s="625"/>
      <c r="D13" s="626"/>
      <c r="E13" s="117"/>
    </row>
    <row r="14" spans="1:5" ht="50.15" customHeight="1" x14ac:dyDescent="0.45">
      <c r="A14" s="624" t="str">
        <f>IFERROR(IF('2-Section de Fonctionnement'!F48&gt;='2-Section de Fonctionnement'!C48,"L'évolution des recettes récurrentes de fonctionnement a été plus importante que celle des dépenses, sur la période.","L'évolution (en %) des dépenses récurrentes de fonctionnement a été plus importante que celle des recettes, sur la période.") &amp;" Les dépenses ont évolué de " &amp;TEXT('2-Section de Fonctionnement'!F10-'2-Section de Fonctionnement'!C10,"# ##0") &amp;B3 &amp;". Les recettes ont évolué de " &amp;TEXT('2-Section de Fonctionnement'!F29-'2-Section de Fonctionnement'!C29,"# ##0") &amp;B3 &amp;".","Complétez conformément toutes les données nécessaires des onglets précédents afin de pouvoir éditer l'ensemble des éléments du rapport")</f>
        <v>L'évolution des recettes récurrentes de fonctionnement a été plus importante que celle des dépenses, sur la période. Les dépenses ont évolué de 0. Les recettes ont évolué de 0.</v>
      </c>
      <c r="B14" s="625"/>
      <c r="C14" s="625"/>
      <c r="D14" s="626"/>
      <c r="E14" s="318"/>
    </row>
    <row r="15" spans="1:5" ht="55.5" customHeight="1" x14ac:dyDescent="0.45">
      <c r="A15" s="624" t="str">
        <f>IFERROR(
  "Le taux d'épargne brute (ratio entre l'autofinancement et les recettes réelles de fonctionnement) est de " &amp;
  TEXT('2-Section de Fonctionnement'!F51*100,"0,0") &amp; "% " &amp;
  IF('2-Section de Fonctionnement'!F51&lt;0,
     "Ce taux est critique et négatif. Il est nécessaire de dégager une marge de manœuvre de " &amp;
     TEXT((SUMIFS('2-Section de Fonctionnement'!F30:F43,'2-Section de Fonctionnement'!$B$30:$B$43,"Oui"))*0.1-'2-Section de Fonctionnement'!F47,"0") &amp;
     B3 &amp; " pour atteindre un taux d'épargne de 10%.",
     IF('2-Section de Fonctionnement'!F51&lt;10%,
        "Ce taux est trop juste. Il est nécessaire de dégager une marge de manœuvre de " &amp;
        TEXT((SUMIFS('2-Section de Fonctionnement'!F30:F43,'2-Section de Fonctionnement'!$B$30:$B$43,"Oui"))*0.1-'2-Section de Fonctionnement'!F47,"0") &amp;
        B3 &amp; " pour atteindre un taux d'épargne de 10%.",
        ". Ce taux est satisfaisant."
     )
  ),
  "Complétez conformément toutes les données nécessaires des onglets précédents afin de pouvoir éditer l'ensemble des éléments du rapport"
)</f>
        <v>Le taux d'épargne brute (ratio entre l'autofinancement et les recettes réelles de fonctionnement) est de 0,0% Ce taux est trop juste. Il est nécessaire de dégager une marge de manœuvre de 0 pour atteindre un taux d'épargne de 10%.</v>
      </c>
      <c r="B15" s="625"/>
      <c r="C15" s="625"/>
      <c r="D15" s="626"/>
      <c r="E15" s="139"/>
    </row>
    <row r="16" spans="1:5" ht="41.25" customHeight="1" x14ac:dyDescent="0.45">
      <c r="A16" s="631" t="str">
        <f>"Le fait d'avoir un taux d'épargne suppérieur à 10% permet à la collectivité d'envisager de développer des projets ou services"</f>
        <v>Le fait d'avoir un taux d'épargne suppérieur à 10% permet à la collectivité d'envisager de développer des projets ou services</v>
      </c>
      <c r="B16" s="632"/>
      <c r="C16" s="632"/>
      <c r="D16" s="633"/>
      <c r="E16" s="322"/>
    </row>
    <row r="17" spans="1:6" ht="177" customHeight="1" x14ac:dyDescent="0.45">
      <c r="A17" s="652"/>
      <c r="B17" s="653"/>
      <c r="C17" s="653"/>
      <c r="D17" s="654"/>
      <c r="E17" s="322"/>
    </row>
    <row r="18" spans="1:6" ht="75" customHeight="1" x14ac:dyDescent="0.45">
      <c r="A18" s="621" t="str">
        <f>IFERROR("Les trois postes de dépenses les plus importants sont : 
1) "&amp;INDEX('2-Section de Fonctionnement'!A11:A26,MATCH(LARGE('2-Section de Fonctionnement'!F11:F26,1),'2-Section de Fonctionnement'!F11:F26,0))&amp;" : "&amp;TEXT(LARGE('2-Section de Fonctionnement'!F11:F26,1),"# ##0")&amp;B3 &amp;", 
2) "&amp;INDEX('2-Section de Fonctionnement'!A11:A26,MATCH(LARGE('2-Section de Fonctionnement'!F11:F26,2),'2-Section de Fonctionnement'!F11:F26,0))&amp;" : "&amp;TEXT(LARGE('2-Section de Fonctionnement'!F11:F26,2),"# ##0")&amp;B3 &amp;", 
3) "&amp;INDEX('2-Section de Fonctionnement'!A11:A26,MATCH(LARGE('2-Section de Fonctionnement'!F11:F26,3),'2-Section de Fonctionnement'!F11:F26,0))&amp;" : "&amp;TEXT(LARGE('2-Section de Fonctionnement'!F11:F26,3),"# ##0")&amp;B3 &amp;". ","Complétez conformément toutes les données nécessaires des onglets précédents afin de pouvoir éditer l'ensemble des éléments du rapport")</f>
        <v>Complétez conformément toutes les données nécessaires des onglets précédents afin de pouvoir éditer l'ensemble des éléments du rapport</v>
      </c>
      <c r="B18" s="622"/>
      <c r="C18" s="622"/>
      <c r="D18" s="623"/>
    </row>
    <row r="19" spans="1:6" ht="74.25" customHeight="1" x14ac:dyDescent="0.45">
      <c r="A19" s="624" t="str">
        <f>IFERROR("Les trois postes de dépenses ayant le plus évolué sont "&amp;" les 
1) "&amp;INDEX('2-Section de Fonctionnement'!A11:A26,MATCH(LARGE('2-Section de Fonctionnement'!O11:O26,1),'2-Section de Fonctionnement'!O11:O26,0))&amp;" : "&amp;TEXT(LARGE('2-Section de Fonctionnement'!O11:O26,1),"0,0%") &amp;", "&amp;"
2) "&amp;INDEX('2-Section de Fonctionnement'!A11:A26,MATCH(LARGE('2-Section de Fonctionnement'!O11:O26,2),'2-Section de Fonctionnement'!O11:O26,0))&amp;" : "&amp;TEXT(LARGE('2-Section de Fonctionnement'!O11:O26,2),"0,0%") &amp;",
3) "&amp;INDEX('2-Section de Fonctionnement'!A11:A26,MATCH(LARGE('2-Section de Fonctionnement'!O11:O26,3),'2-Section de Fonctionnement'!O11:O26,0))&amp;" : "&amp;TEXT(LARGE('2-Section de Fonctionnement'!O11:O26,3),"0,0%") &amp;". ","Complétez conformément toutes les données nécessaires des onglets précédents afin de pouvoir éditer l'ensemble des éléments du rapport")</f>
        <v xml:space="preserve">Les trois postes de dépenses ayant le plus évolué sont  les 
1) Charges de personnel : 0,0%, 
2) Charges de personnel : 0,0%,
3) Charges de personnel : 0,0%. </v>
      </c>
      <c r="B19" s="625"/>
      <c r="C19" s="625"/>
      <c r="D19" s="626"/>
      <c r="E19" s="318"/>
      <c r="F19" s="319"/>
    </row>
    <row r="20" spans="1:6" ht="75" customHeight="1" x14ac:dyDescent="0.45">
      <c r="A20" s="621" t="str">
        <f>IFERROR("Les trois postes de recettes les plus importants sont : 
1) le produit de " &amp; INDEX('2-Section de Fonctionnement'!A30:A44,MATCH(LARGE('2-Section de Fonctionnement'!F30:F44,1),'2-Section de Fonctionnement'!F30:F44,0)) &amp; " : " &amp; TEXT(LARGE('2-Section de Fonctionnement'!F30:F44,1),"# ##0") &amp; B3 &amp; ", 
2) le produit de " &amp; INDEX('2-Section de Fonctionnement'!A30:A44,MATCH(LARGE('2-Section de Fonctionnement'!F30:F44,2),'2-Section de Fonctionnement'!F30:F44,0)) &amp; " : " &amp; TEXT(LARGE('2-Section de Fonctionnement'!F30:F44,2),"# ##0") &amp; B3 &amp; ", 
3) le produit de " &amp; INDEX('2-Section de Fonctionnement'!A30:A44,MATCH(LARGE('2-Section de Fonctionnement'!F30:F44,3),'2-Section de Fonctionnement'!F30:F44,0)) &amp; " : " &amp; TEXT(LARGE('2-Section de Fonctionnement'!F30:F44,3),"# ##0") &amp; B3 &amp; ".","Complétez conformément toutes les données nécessaires des onglets précédents afin de pouvoir éditer l'ensemble des éléments du rapport")</f>
        <v>Complétez conformément toutes les données nécessaires des onglets précédents afin de pouvoir éditer l'ensemble des éléments du rapport</v>
      </c>
      <c r="B20" s="622"/>
      <c r="C20" s="622"/>
      <c r="D20" s="623"/>
      <c r="E20" s="318"/>
    </row>
    <row r="21" spans="1:6" ht="75.75" customHeight="1" thickBot="1" x14ac:dyDescent="0.5">
      <c r="A21" s="637" t="str">
        <f>IFERROR("Les trois postes de recette ayant le plus évolué sont : 
1) " &amp; INDEX('2-Section de Fonctionnement'!A30:A44,MATCH(LARGE('2-Section de Fonctionnement'!O30:O44,1),'2-Section de Fonctionnement'!O30:O44,0)) &amp; " : " &amp; TEXT(LARGE('2-Section de Fonctionnement'!O30:O44,1),"0,0%") &amp; ", 
2) " &amp; INDEX('2-Section de Fonctionnement'!A30:A44,MATCH(LARGE('2-Section de Fonctionnement'!O30:O44,2),'2-Section de Fonctionnement'!O30:O44,0)) &amp; " : " &amp; TEXT(LARGE('2-Section de Fonctionnement'!O30:O44,2),"0,0%") &amp; ", 
3) " &amp; INDEX('2-Section de Fonctionnement'!A30:A44,MATCH(LARGE('2-Section de Fonctionnement'!O30:O44,3),'2-Section de Fonctionnement'!O30:O44,0)) &amp; " : " &amp; TEXT(LARGE('2-Section de Fonctionnement'!O30:O44,3),"0,0%") &amp; ".","Complétez conformément toutes les données nécessaires des onglets précédents afin de pouvoir éditer l'ensemble des éléments du rapport")</f>
        <v>Les trois postes de recette ayant le plus évolué sont : 
1)  : 0,0%, 
2)  : 0,0%, 
3)  : 0,0%.</v>
      </c>
      <c r="B21" s="638"/>
      <c r="C21" s="638"/>
      <c r="D21" s="639"/>
      <c r="E21" s="119"/>
    </row>
    <row r="22" spans="1:6" ht="24.75" customHeight="1" x14ac:dyDescent="0.45">
      <c r="A22" s="627" t="s">
        <v>88</v>
      </c>
      <c r="B22" s="628"/>
      <c r="C22" s="628"/>
      <c r="D22" s="629"/>
      <c r="E22" s="118"/>
    </row>
    <row r="23" spans="1:6" ht="39" customHeight="1" x14ac:dyDescent="0.45">
      <c r="A23" s="679" t="str">
        <f>IFERROR("Les dépenses d'investissement (hors remboursement d'emprunt) s'élèvent à " &amp;TEXT(SUM('4-Section d''Investissement'!B15:E15)-SUM('4-Section d''Investissement'!B16:E16),"# ##0") &amp;B3 &amp;" sur la période " &amp;'2-Section de Fonctionnement'!C9 &amp;"/" &amp;'2-Section de Fonctionnement'!F9 &amp;".","Complétez conformément toutes les données nécessaires des onglets précédents afin de pouvoir éditer l'ensemble des éléments du rapport")</f>
        <v>Les dépenses d'investissement (hors remboursement d'emprunt) s'élèvent à 0 sur la période 0/3.</v>
      </c>
      <c r="B23" s="680"/>
      <c r="C23" s="680"/>
      <c r="D23" s="681"/>
      <c r="E23" s="138"/>
    </row>
    <row r="24" spans="1:6" ht="75.75" customHeight="1" x14ac:dyDescent="0.45">
      <c r="A24" s="624" t="str">
        <f>IFERROR(
  "L'encours de dette est de " &amp;
  TEXT('4-Section d''Investissement'!E52,"# ##0") &amp; B3 &amp; ". " &amp;
  IF(B4&lt;0,"Il a augmenté de ",
     IF(B4&gt;0,"Il a diminué de ",
        "")
  ) &amp;
  TEXT('4-Section d''Investissement'!E52 - '1-Informations-paramètres '!C15,"# ##0") &amp; B3 &amp; " sur la période. " &amp;
  "La Collectivité mettrait " &amp;
  TEXT('4-Section d''Investissement'!E55,"0,0") &amp;
  " années à rembourser sa dette si elle y consacrait la totalité de son autofinancement (capacité dynamique de désendettement). " &amp;
  IF('4-Section d''Investissement'!E55&lt;0,"Il s'agit d'une situation critique ; la collectivité ne dispose pas des moyens suffisants pour rembourser sa dette",
     IF('4-Section d''Investissement'!E55&lt;5,"Il s'agit d'une situation très satisfaisante",
        IF('4-Section d''Investissement'!E55&lt;8,"Il s'agit d'une situation qui reste conforme",
           IF('4-Section d''Investissement'!E55&lt;12,"Il s'agit d'une situation qui nécessite une vigilance particulière",
              IF('4-Section d''Investissement'!E55&lt;100,"La situation dépasse le seuil d'alerte",
                 "Le ratio de désendettement est anormalement élevé ou invalide."
              )
           )
        )
     )
  ) &amp; ".",
  "Complétez conformément toutes les données nécessaires des onglets précédents afin de pouvoir éditer l'ensemble des éléments du rapport"
)</f>
        <v>L'encours de dette est de 0. 0 sur la période. La Collectivité mettrait 0,0 années à rembourser sa dette si elle y consacrait la totalité de son autofinancement (capacité dynamique de désendettement). Il s'agit d'une situation très satisfaisante.</v>
      </c>
      <c r="B24" s="625"/>
      <c r="C24" s="625"/>
      <c r="D24" s="626"/>
      <c r="E24" s="119"/>
    </row>
    <row r="25" spans="1:6" ht="35.25" customHeight="1" x14ac:dyDescent="0.45">
      <c r="A25" s="686" t="str">
        <f>"Le seuil de vigilance pour cet indicateur est de 8 années de remboursement et le seuil de dangerosité est de 12 années. Si cet indicateur est inférieur à zéro (négatif) : la situation est d'autant plus intenable."</f>
        <v>Le seuil de vigilance pour cet indicateur est de 8 années de remboursement et le seuil de dangerosité est de 12 années. Si cet indicateur est inférieur à zéro (négatif) : la situation est d'autant plus intenable.</v>
      </c>
      <c r="B25" s="687"/>
      <c r="C25" s="687"/>
      <c r="D25" s="688"/>
    </row>
    <row r="26" spans="1:6" ht="28.5" customHeight="1" x14ac:dyDescent="0.45">
      <c r="A26" s="679" t="str">
        <f>IFERROR("L'encours de dette par habitant est de " &amp;TEXT('4-Section d''Investissement'!E54,"# ##0") &amp;" euros" &amp;".","Complétez conformément toutes les données nécessaires des onglets précédents afin de pouvoir éditer l'ensemble des éléments du rapport")</f>
        <v>L'encours de dette par habitant est de 0 euros.</v>
      </c>
      <c r="B26" s="680"/>
      <c r="C26" s="680"/>
      <c r="D26" s="681"/>
    </row>
    <row r="27" spans="1:6" ht="48" customHeight="1" x14ac:dyDescent="0.45">
      <c r="A27" s="679" t="str">
        <f>IFERROR(
  "La collectivité dispose d'un fonds de roulement de " &amp;
  TEXT('4-Section d''Investissement'!E49,"# ##0") &amp; B3 &amp; ". " &amp;
  IF('4-Section d''Investissement'!E49&gt;('2-Section de Fonctionnement'!F10 - SUMIFS('2-Section de Fonctionnement'!F11:F25,'2-Section de Fonctionnement'!$B$11:$B$25,"Non"))/2,
    "Il est confortable, ce qui permet de faire face à l'équivalent de 6 mois de dépenses de fonctionnement.",
  IF('4-Section d''Investissement'!E49&gt;('2-Section de Fonctionnement'!F10 - SUMIFS('2-Section de Fonctionnement'!F11:F25,'2-Section de Fonctionnement'!$B$11:$B$25,"Non")),
    "Il est conséquent car il équivaut à une année entière de dépenses de fonctionnement.",
  IF('4-Section d''Investissement'!E49&gt;('2-Section de Fonctionnement'!F10 - SUMIFS('2-Section de Fonctionnement'!F11:F25,'2-Section de Fonctionnement'!$B$11:$B$25,"Non"))/3,
    "Il permet de financer au moins 4 mois de dépenses de fonctionnement de l'année. C'est une situation conforme mais peu confortable.",
  IF('4-Section d''Investissement'!E49&lt;0,
    "Il est négatif, illustrant une situation périlleuse nécessitant une vigilance sur la trésorerie et le recours à un financement externe.",
    "Le fonds de roulement ne représente que quelques mois de dépenses de fonctionnement. La situation n'est pas confortable et doit faire l'objet d'un suivi régulier."
  )))),
  "Complétez conformément toutes les données nécessaires des onglets précédents afin de pouvoir éditer l'ensemble des éléments du rapport"
)</f>
        <v>La collectivité dispose d'un fonds de roulement de 0. Le fonds de roulement ne représente que quelques mois de dépenses de fonctionnement. La situation n'est pas confortable et doit faire l'objet d'un suivi régulier.</v>
      </c>
      <c r="B27" s="680"/>
      <c r="C27" s="680"/>
      <c r="D27" s="681"/>
      <c r="E27" s="138"/>
    </row>
    <row r="28" spans="1:6" ht="158.25" customHeight="1" thickBot="1" x14ac:dyDescent="0.5">
      <c r="A28" s="649"/>
      <c r="B28" s="650"/>
      <c r="C28" s="650"/>
      <c r="D28" s="651"/>
      <c r="E28" s="138"/>
    </row>
    <row r="29" spans="1:6" ht="29.25" customHeight="1" x14ac:dyDescent="0.45">
      <c r="A29" s="614" t="s">
        <v>110</v>
      </c>
      <c r="B29" s="615"/>
      <c r="C29" s="615"/>
      <c r="D29" s="616"/>
      <c r="E29" s="138"/>
    </row>
    <row r="30" spans="1:6" ht="114" customHeight="1" thickBot="1" x14ac:dyDescent="0.5">
      <c r="A30" s="643" t="s">
        <v>200</v>
      </c>
      <c r="B30" s="644"/>
      <c r="C30" s="644"/>
      <c r="D30" s="645"/>
      <c r="E30" s="138"/>
    </row>
    <row r="31" spans="1:6" ht="24.75" customHeight="1" x14ac:dyDescent="0.45">
      <c r="A31" s="658" t="s">
        <v>150</v>
      </c>
      <c r="B31" s="659"/>
      <c r="C31" s="659"/>
      <c r="D31" s="660"/>
      <c r="E31" s="138"/>
    </row>
    <row r="32" spans="1:6" ht="29.25" customHeight="1" thickBot="1" x14ac:dyDescent="0.5">
      <c r="A32" s="624" t="s">
        <v>174</v>
      </c>
      <c r="B32" s="625"/>
      <c r="C32" s="625"/>
      <c r="D32" s="626"/>
      <c r="E32" s="138"/>
    </row>
    <row r="33" spans="1:10" ht="33.65" hidden="1" customHeight="1" x14ac:dyDescent="0.45">
      <c r="A33" s="121">
        <f>'1-Informations-paramètres '!C51</f>
        <v>0</v>
      </c>
      <c r="B33" s="122">
        <f>'1-Informations-paramètres '!C50</f>
        <v>0</v>
      </c>
      <c r="E33" s="96"/>
      <c r="F33" s="96"/>
    </row>
    <row r="34" spans="1:10" hidden="1" x14ac:dyDescent="0.45">
      <c r="A34" s="141" t="s">
        <v>90</v>
      </c>
      <c r="B34" s="123" t="str">
        <f>TEXT(INDEX('4-Section d''Investissement'!B52:L52,MATCH(A33,'4-Section d''Investissement'!B14:L14,0))-INDEX('4-Section d''Investissement'!B52:L52,MATCH(B33,'4-Section d''Investissement'!B14:L14,0)),"# ##0")</f>
        <v>0</v>
      </c>
      <c r="E34" s="94"/>
    </row>
    <row r="35" spans="1:10" ht="17" hidden="1" thickBot="1" x14ac:dyDescent="0.5">
      <c r="A35" s="117"/>
      <c r="B35" s="117"/>
      <c r="C35" s="117"/>
      <c r="D35" s="117"/>
      <c r="E35" s="117"/>
    </row>
    <row r="36" spans="1:10" ht="24" customHeight="1" x14ac:dyDescent="0.45">
      <c r="A36" s="692" t="str">
        <f>"Partie 2 : ANALYSE PERIODE " &amp;'1-Informations-paramètres '!C50&amp;"/"&amp;'1-Informations-paramètres '!C51&amp;" - " &amp;'1-Informations-paramètres '!C7</f>
        <v xml:space="preserve">Partie 2 : ANALYSE PERIODE / - </v>
      </c>
      <c r="B36" s="693"/>
      <c r="C36" s="693"/>
      <c r="D36" s="694"/>
    </row>
    <row r="37" spans="1:10" ht="20.25" customHeight="1" thickBot="1" x14ac:dyDescent="0.5">
      <c r="A37" s="695" t="str">
        <f>"Les données présentées concernent le scénario(" &amp;'1-Informations-paramètres '!C9 &amp;") sur la période du 01/01/"&amp;'1-Informations-paramètres '!C50&amp;" au 31/12/"&amp;'1-Informations-paramètres '!C51&amp;"."</f>
        <v>Les données présentées concernent le scénario() sur la période du 01/01/ au 31/12/.</v>
      </c>
      <c r="B37" s="696"/>
      <c r="C37" s="696"/>
      <c r="D37" s="697"/>
    </row>
    <row r="38" spans="1:10" ht="16.899999999999999" customHeight="1" x14ac:dyDescent="0.45">
      <c r="A38" s="682" t="s">
        <v>87</v>
      </c>
      <c r="B38" s="683"/>
      <c r="C38" s="683"/>
      <c r="D38" s="684"/>
    </row>
    <row r="39" spans="1:10" ht="34.5" customHeight="1" x14ac:dyDescent="0.45">
      <c r="A39" s="698" t="str">
        <f>IFERROR("En " &amp;'1-Informations-paramètres '!C51 &amp;", les dépenses réelles de fonctionnement atteignent " &amp;TEXT(INDEX('2-Section de Fonctionnement'!H10:M10,MATCH(A33,'2-Section de Fonctionnement'!H9:M9,0)),"# ##0") &amp;B3 &amp;" et les recettes " &amp;TEXT(INDEX('2-Section de Fonctionnement'!H29:M29,MATCH(A33,'2-Section de Fonctionnement'!H9:M9,0)),"# ##0") &amp;B3 &amp;".","Complétez conformément toutes les données nécessaires des onglets précédents afin de pouvoir éditer l'ensemble des éléments du rapport")</f>
        <v>Complétez conformément toutes les données nécessaires des onglets précédents afin de pouvoir éditer l'ensemble des éléments du rapport</v>
      </c>
      <c r="B39" s="699"/>
      <c r="C39" s="699"/>
      <c r="D39" s="700"/>
    </row>
    <row r="40" spans="1:10" ht="33" customHeight="1" x14ac:dyDescent="0.45">
      <c r="A40" s="664" t="str">
        <f>IFERROR("La section de fonctionnement dégage un autofinancement de " &amp;TEXT(INDEX('2-Section de Fonctionnement'!H47:M47,MATCH(A33,'2-Section de Fonctionnement'!H9:M9,0)),"# ##0") &amp;B3 &amp;".","Complétez conformément toutes les données nécessaires des onglets précédents afin de pouvoir éditer l'ensemble des éléments du rapport")</f>
        <v>Complétez conformément toutes les données nécessaires des onglets précédents afin de pouvoir éditer l'ensemble des éléments du rapport</v>
      </c>
      <c r="B40" s="665"/>
      <c r="C40" s="665"/>
      <c r="D40" s="666"/>
    </row>
    <row r="41" spans="1:10" ht="71.25" customHeight="1" x14ac:dyDescent="0.45">
      <c r="A41" s="664" t="str">
        <f>IFERROR(
  "Après remboursement des échéances de la dette, l'autofinancement net (épargne nette), atteint " &amp;
  TEXT(INDEX('2-Section de Fonctionnement'!I49:M49,MATCH(A33,'2-Section de Fonctionnement'!I9:M9,0)),"# ##0") &amp;
  B3 &amp; "." &amp;
  IF(INDEX('2-Section de Fonctionnement'!I49:M49,MATCH(A33,'2-Section de Fonctionnement'!I9:M9,0))&gt;0,
     " La collectivité dispose donc d'une marge de manœuvre suffisante pour répondre au remboursement de sa dette.",
     IF(INDEX('2-Section de Fonctionnement'!I49:M49,MATCH(A33,'2-Section de Fonctionnement'!I9:M9,0))&lt;0,
        " L'autofinancement net est négatif, l'équilibre financier n'est pas atteint. La situation est ainsi préoccupante.",
        ""
     )
  ),
  "Complétez conformément toutes les données nécessaires des onglets précédents afin de pouvoir éditer l'ensemble des éléments du rapport"
)</f>
        <v>Complétez conformément toutes les données nécessaires des onglets précédents afin de pouvoir éditer l'ensemble des éléments du rapport</v>
      </c>
      <c r="B41" s="665"/>
      <c r="C41" s="665"/>
      <c r="D41" s="666"/>
    </row>
    <row r="42" spans="1:10" ht="73.5" customHeight="1" x14ac:dyDescent="0.45">
      <c r="A42" s="664" t="str">
        <f>IFERROR(IF(INDEX('2-Section de Fonctionnement'!C48:M48,MATCH(A33,'2-Section de Fonctionnement'!C9:M9,0))&gt;INDEX('2-Section de Fonctionnement'!C47:M47,MATCH(B33,'2-Section de Fonctionnement'!C9:M9,0)),"L'évolution (en%) des recettes récurrentes de fonctionnement a été plus importante que celle des dépenses, sur la période. ","L'évolution (en %) des dépenses récurrentes de fonctionnement a été plus importante que celle des recettes, sur la période.") &amp;" Les dépenses ont évolué de " &amp;TEXT(INDEX('2-Section de Fonctionnement'!C10:M10,MATCH(A33,'2-Section de Fonctionnement'!C9:M9,0))-INDEX('2-Section de Fonctionnement'!C10:M10,MATCH(B33,'2-Section de Fonctionnement'!C9:M9,0)),"# ##0") &amp;B3 &amp;". Les recettes ont évolué de " &amp;TEXT(INDEX('2-Section de Fonctionnement'!C29:M29,MATCH(A33,'2-Section de Fonctionnement'!C9:M9,0))-INDEX('2-Section de Fonctionnement'!C29:M29,MATCH(B33,'2-Section de Fonctionnement'!C9:M9,0)),"# ##0") &amp;B3 &amp;" sur la période " &amp;B33 &amp;"/" &amp;A33 &amp;".","Complétez conformément toutes les données nécessaires des onglets précédents afin de pouvoir éditer l'ensemble des éléments du rapport")</f>
        <v>L'évolution (en %) des dépenses récurrentes de fonctionnement a été plus importante que celle des recettes, sur la période. Les dépenses ont évolué de 0. Les recettes ont évolué de 0 sur la période 0/0.</v>
      </c>
      <c r="B42" s="665"/>
      <c r="C42" s="665"/>
      <c r="D42" s="666"/>
      <c r="E42" s="179"/>
    </row>
    <row r="43" spans="1:10" ht="43.5" customHeight="1" x14ac:dyDescent="0.45">
      <c r="A43" s="689" t="str">
        <f>IFERROR(
  "Le taux d'épargne brute de " &amp;
  TEXT(INDEX('2-Section de Fonctionnement'!H51:M51, MATCH(A33, '2-Section de Fonctionnement'!H9:M9, 0)), "0,0%") &amp;
  IF(INDEX('2-Section de Fonctionnement'!H51:M51, MATCH(A33, '2-Section de Fonctionnement'!H9:M9, 0)) &lt; 0,
    " Ce taux est critique et négatif. Il est nécessaire de dégager une marge de manœuvre de " &amp;
    TEXT(
      (INDEX('2-Section de Fonctionnement'!H29:M29, MATCH(A33, '2-Section de Fonctionnement'!H9:M9, 0)) * 0.1)
      - INDEX('2-Section de Fonctionnement'!H47:M47, MATCH(A33, '2-Section de Fonctionnement'!H9:M9, 0)),
      "# ##0"
    ) &amp; B3 &amp;
    " pour atteindre un taux d'épargne de 10%.",
    IF(INDEX('2-Section de Fonctionnement'!H51:M51, MATCH(A33, '2-Section de Fonctionnement'!H9:M9, 0)) &lt; 0.1,
      " Ce taux est trop juste. Il est nécessaire de dégager une marge de manœuvre de " &amp;
      TEXT(
        (INDEX('2-Section de Fonctionnement'!H29:M29, MATCH(A33, '2-Section de Fonctionnement'!H9:M9, 0)) * 0.1)
        - INDEX('2-Section de Fonctionnement'!H47:M47, MATCH(A33, '2-Section de Fonctionnement'!H9:M9, 0)),
        "# ##0"
      ) &amp; B3 &amp;
      " pour atteindre un taux d'épargne de 10%.",
      ". Ce taux est satisfaisant."
    )
  ),
  "Complétez conformément toutes les données nécessaires des onglets précédents afin de pouvoir éditer l'ensemble des éléments du rapport"
)</f>
        <v>Complétez conformément toutes les données nécessaires des onglets précédents afin de pouvoir éditer l'ensemble des éléments du rapport</v>
      </c>
      <c r="B43" s="690"/>
      <c r="C43" s="690"/>
      <c r="D43" s="691"/>
      <c r="E43" s="370"/>
      <c r="F43" s="371"/>
      <c r="G43" s="371"/>
      <c r="H43" s="371"/>
      <c r="I43" s="371"/>
      <c r="J43" s="371"/>
    </row>
    <row r="44" spans="1:10" ht="185.25" customHeight="1" x14ac:dyDescent="0.45">
      <c r="A44" s="640"/>
      <c r="B44" s="641"/>
      <c r="C44" s="641"/>
      <c r="D44" s="642"/>
      <c r="E44" s="370"/>
      <c r="F44" s="371"/>
      <c r="G44" s="371"/>
      <c r="H44" s="371"/>
      <c r="I44" s="371"/>
      <c r="J44" s="371"/>
    </row>
    <row r="45" spans="1:10" ht="75" customHeight="1" x14ac:dyDescent="0.45">
      <c r="A45" s="664" t="str">
        <f>IFERROR("Les trois postes de dépenses ayant le plus évolué sont : 
1) " &amp; INDEX('2-Section de Fonctionnement'!A11:A26,MATCH(LARGE('2-Section de Fonctionnement'!Q11:Q26,1),'2-Section de Fonctionnement'!Q11:Q26,0)) &amp; " (+" &amp; TEXT(LARGE('2-Section de Fonctionnement'!Q11:Q26,1),"0,0%") &amp; "), 
2) " &amp; INDEX('2-Section de Fonctionnement'!A11:A26,MATCH(LARGE('2-Section de Fonctionnement'!Q11:Q26,2),'2-Section de Fonctionnement'!Q11:Q26,0)) &amp; " (+" &amp; TEXT(LARGE('2-Section de Fonctionnement'!Q11:Q26,2),"0,0%") &amp; "), 
3) " &amp; INDEX('2-Section de Fonctionnement'!A11:A26,MATCH(LARGE('2-Section de Fonctionnement'!Q11:Q26,3),'2-Section de Fonctionnement'!Q11:Q26,0)) &amp; " (+" &amp; TEXT(LARGE('2-Section de Fonctionnement'!Q11:Q26,3),"0,0%") &amp; ").","Complétez conformément toutes les données nécessaires des onglets précédents afin de pouvoir éditer l'ensemble des éléments du rapport")</f>
        <v>Les trois postes de dépenses ayant le plus évolué sont : 
1) Charges de personnel (+0,0%), 
2) Charges de personnel (+0,0%), 
3) Charges de personnel (+0,0%).</v>
      </c>
      <c r="B45" s="665"/>
      <c r="C45" s="665"/>
      <c r="D45" s="666"/>
      <c r="E45" s="137"/>
    </row>
    <row r="46" spans="1:10" ht="75" customHeight="1" thickBot="1" x14ac:dyDescent="0.5">
      <c r="A46" s="664" t="str">
        <f>IFERROR("Les trois postes de recettes ayant le plus évolué sont : 
1) " &amp; INDEX('2-Section de Fonctionnement'!A11:A26,MATCH(LARGE('2-Section de Fonctionnement'!Q30:Q44,1),'2-Section de Fonctionnement'!Q30:Q44,0)) &amp; " (+" &amp; TEXT(LARGE('2-Section de Fonctionnement'!Q30:Q44,1),"0,0%") &amp; "), 
2) " &amp; INDEX('2-Section de Fonctionnement'!A11:A26,MATCH(LARGE('2-Section de Fonctionnement'!Q30:Q44,2),'2-Section de Fonctionnement'!Q30:Q44,0)) &amp; " (+" &amp; TEXT(LARGE('2-Section de Fonctionnement'!Q30:Q44,2),"0,0%") &amp; "), 
3) " &amp; INDEX('2-Section de Fonctionnement'!A11:A26,MATCH(LARGE('2-Section de Fonctionnement'!Q30:Q44,3),'2-Section de Fonctionnement'!Q30:Q44,0)) &amp; " (+" &amp; TEXT(LARGE('2-Section de Fonctionnement'!Q30:Q44,3),"0,0%") &amp; ").","Complétez conformément toutes les données nécessaires des onglets précédents afin de pouvoir éditer l'ensemble des éléments du rapport")</f>
        <v>Les trois postes de recettes ayant le plus évolué sont : 
1) Charges de personnel (+0,0%), 
2) Charges de personnel (+0,0%), 
3) Charges de personnel (+0,0%).</v>
      </c>
      <c r="B46" s="665"/>
      <c r="C46" s="665"/>
      <c r="D46" s="666"/>
    </row>
    <row r="47" spans="1:10" ht="16.5" customHeight="1" x14ac:dyDescent="0.45">
      <c r="A47" s="682" t="s">
        <v>88</v>
      </c>
      <c r="B47" s="683"/>
      <c r="C47" s="683"/>
      <c r="D47" s="684"/>
    </row>
    <row r="48" spans="1:10" x14ac:dyDescent="0.45">
      <c r="A48" s="664" t="str">
        <f>IFERROR("Les dépenses d'investissement s'élèvent à " &amp;TEXT(INDEX('4-Section d''Investissement'!B56:L56,MATCH(A33,'4-Section d''Investissement'!B14:L14,0))-INDEX('4-Section d''Investissement'!B56:L56,MATCH(B33-1,'4-Section d''Investissement'!B14:L14,0)),"# ##0") &amp;B3 &amp;" sur la période.","Complétez conformément toutes les données nécessaires des onglets précédents afin de pouvoir éditer l'ensemble des éléments du rapport")</f>
        <v>Complétez conformément toutes les données nécessaires des onglets précédents afin de pouvoir éditer l'ensemble des éléments du rapport</v>
      </c>
      <c r="B48" s="665"/>
      <c r="C48" s="665"/>
      <c r="D48" s="666"/>
    </row>
    <row r="49" spans="1:5" ht="67.5" customHeight="1" x14ac:dyDescent="0.45">
      <c r="A49" s="664" t="str">
        <f>IFERROR(
  "L'encours de dette est de " &amp;
  TEXT(INDEX('4-Section d''Investissement'!B52:L52,MATCH(A33,'4-Section d''Investissement'!B14:L14,0)),"# ##0") &amp; B3 &amp; ". " &amp;
  IF(
    INDEX('4-Section d''Investissement'!B52:L52,MATCH(A33,'4-Section d''Investissement'!B14:L14,0)) -
    INDEX('4-Section d''Investissement'!B52:L52,MATCH(B33,'4-Section d''Investissement'!B14:L14,0)) &gt; 0,
    "Sur la période d'étude, il a augmenté de ",
    IF(
      INDEX('4-Section d''Investissement'!B52:L52,MATCH(A33,'4-Section d''Investissement'!B14:L14,0)) -
      INDEX('4-Section d''Investissement'!B52:L52,MATCH(B33,'4-Section d''Investissement'!B14:L14,0)) &lt; 0,
      "Sur la période d'étude, il a diminué de ",
      ""
    )
  ) &amp;
  B34 &amp; B3 &amp; ". " &amp;
  "Ainsi la Commune mettrait " &amp;
  TEXT(INDEX('4-Section d''Investissement'!G55:L55,MATCH(A33,'4-Section d''Investissement'!G14:L14,0)),"0,0") &amp;
  " années à rembourser sa dette si elle y consacrait la totalité de son autofinancement (capacité dynamique de désendettement). " &amp;
  IF(
    INDEX('4-Section d''Investissement'!G55:L55,MATCH(A33,'4-Section d''Investissement'!G14:L14,0)) &lt; 0,
    "La commune n'est pas en mesure de rembourser sa dette car sa marge de fonctionnement est négative",
    IF(
      INDEX('4-Section d''Investissement'!G55:L55,MATCH(A33,'4-Section d''Investissement'!G14:L14,0)) &lt; 5,
      "Il s'agit d'une situation très satisfaisante",
      IF(
        INDEX('4-Section d''Investissement'!G55:L55,MATCH(A33,'4-Section d''Investissement'!G14:L14,0)) &lt; 8,
        "Il s'agit d'une situation satisfaisante",
        IF(
          INDEX('4-Section d''Investissement'!G55:L55,MATCH(A33,'4-Section d''Investissement'!G14:L14,0)) &lt; 12,
          "Il s'agit d'une situation qui nécessite une vigilance particulière",
          "La durée de désendettement dépasse le seuil d’alerte"
        )
      )
    )
  ) &amp; ".",
  "Complétez conformément toutes les données nécessaires des onglets précédents afin de pouvoir éditer l'ensemble des éléments du rapport"
)</f>
        <v>Complétez conformément toutes les données nécessaires des onglets précédents afin de pouvoir éditer l'ensemble des éléments du rapport</v>
      </c>
      <c r="B49" s="665"/>
      <c r="C49" s="665"/>
      <c r="D49" s="666"/>
      <c r="E49" s="455"/>
    </row>
    <row r="50" spans="1:5" ht="24.75" customHeight="1" x14ac:dyDescent="0.45">
      <c r="A50" s="664" t="str">
        <f>"Le seuil de vigilance est de 8 années et le seuil de dangerosité est de 12 années."</f>
        <v>Le seuil de vigilance est de 8 années et le seuil de dangerosité est de 12 années.</v>
      </c>
      <c r="B50" s="665"/>
      <c r="C50" s="665"/>
      <c r="D50" s="666"/>
    </row>
    <row r="51" spans="1:5" ht="17.25" customHeight="1" x14ac:dyDescent="0.45">
      <c r="A51" s="664" t="str">
        <f>IFERROR("L'encours de dette par habitant simulé sera de " &amp;TEXT(INDEX('4-Section d''Investissement'!B54:L54,MATCH(A33,'4-Section d''Investissement'!B14:L14,0)),"# ##0") &amp;" euros" &amp;" au 31/12/" &amp;A33 &amp;".","Complétez conformément toutes les données nécessaires des onglets précédents afin de pouvoir éditer l'ensemble des éléments du rapport")</f>
        <v>L'encours de dette par habitant simulé sera de A saisir euros au 31/12/0.</v>
      </c>
      <c r="B51" s="665"/>
      <c r="C51" s="665"/>
      <c r="D51" s="666"/>
    </row>
    <row r="52" spans="1:5" ht="75.75" customHeight="1" x14ac:dyDescent="0.45">
      <c r="A52" s="661" t="str">
        <f>IFERROR(
  "À la clôture de la période, la collectivité disposera d'un fonds de roulement de " &amp;
  TEXT(INDEX('4-Section d''Investissement'!G49:L49,MATCH(A33,'4-Section d''Investissement'!G14:L14,0)),"# ##0") &amp; B3 &amp; ". " &amp;
  IF(
    INDEX('4-Section d''Investissement'!G49:L49,MATCH(A33,'4-Section d''Investissement'!G14:L14,0)) &gt;
    INDEX('2-Section de Fonctionnement'!B10:M10,MATCH(A33,'2-Section de Fonctionnement'!B9:M9,0)) / 2,
    "La collectivité disposera d'un fonds de roulement confortable lui permettant de faire face à au moins l'équivalent de 6 mois de dépenses de fonctionnement",
    IF(
      INDEX('4-Section d''Investissement'!G49:L49,MATCH(A33,'4-Section d''Investissement'!G14:L14,0)) &gt;
      INDEX('2-Section de Fonctionnement'!B10:M10,MATCH(A33,'2-Section de Fonctionnement'!B9:M9,0)),
      "Le fonds de roulement sera conséquent car il équivaut à une année entière de dépenses de fonctionnement",
      IF(
        INDEX('4-Section d''Investissement'!G49:L49,MATCH(A33,'4-Section d''Investissement'!G14:L14,0)) &gt;
        INDEX('2-Section de Fonctionnement'!B10:M10,MATCH(A33,'2-Section de Fonctionnement'!B9:M9,0)) / 3,
        "Le fonds de roulement permettra de financer au moins 4 mois de dépenses de fonctionnement de l'année. C'est une situation conforme mais peu confortable",
        IF(
          INDEX('4-Section d''Investissement'!G49:L49,MATCH(A33,'4-Section d''Investissement'!G14:L14,0)) &lt; 0,
          "Le fonds de roulement sera négatif, illustrant une situation périlleuse nécessitant une vigilance sur la trésorerie et le recours à un financement externe",
          IF(
            INDEX('4-Section d''Investissement'!G49:L49,MATCH(A33,'4-Section d''Investissement'!G14:L14,0)) &gt; 0,
            "Le fonds de roulement ne représentera que quelques mois de dépenses de fonctionnement. La situation sera tendue et devra faire l'objet d'un suivi régulier",
            "Données insuffisantes pour interpréter la situation du fonds de roulement."
          )
        )
      )
    )
  ) &amp; ".",
  "Complétez conformément toutes les données nécessaires des onglets précédents afin de pouvoir éditer l'ensemble des éléments du rapport"
)</f>
        <v>Complétez conformément toutes les données nécessaires des onglets précédents afin de pouvoir éditer l'ensemble des éléments du rapport</v>
      </c>
      <c r="B52" s="662"/>
      <c r="C52" s="662"/>
      <c r="D52" s="663"/>
    </row>
    <row r="53" spans="1:5" ht="156" customHeight="1" thickBot="1" x14ac:dyDescent="0.5">
      <c r="A53" s="655"/>
      <c r="B53" s="656"/>
      <c r="C53" s="656"/>
      <c r="D53" s="657"/>
    </row>
    <row r="54" spans="1:5" ht="48" customHeight="1" x14ac:dyDescent="0.45">
      <c r="A54" s="617" t="s">
        <v>110</v>
      </c>
      <c r="B54" s="618"/>
      <c r="C54" s="618"/>
      <c r="D54" s="619"/>
    </row>
    <row r="55" spans="1:5" ht="84.75" customHeight="1" thickBot="1" x14ac:dyDescent="0.5">
      <c r="A55" s="643" t="s">
        <v>200</v>
      </c>
      <c r="B55" s="644"/>
      <c r="C55" s="644"/>
      <c r="D55" s="645"/>
    </row>
    <row r="56" spans="1:5" ht="17" thickBot="1" x14ac:dyDescent="0.5"/>
    <row r="57" spans="1:5" ht="16.5" customHeight="1" thickBot="1" x14ac:dyDescent="0.5">
      <c r="A57" s="658" t="s">
        <v>183</v>
      </c>
      <c r="B57" s="659"/>
      <c r="C57" s="659"/>
      <c r="D57" s="660"/>
    </row>
    <row r="58" spans="1:5" ht="32.25" customHeight="1" x14ac:dyDescent="0.45">
      <c r="A58" s="627" t="s">
        <v>158</v>
      </c>
      <c r="B58" s="628"/>
      <c r="C58" s="628"/>
      <c r="D58" s="629"/>
    </row>
    <row r="59" spans="1:5" ht="55.5" customHeight="1" x14ac:dyDescent="0.45">
      <c r="A59" s="667" t="str">
        <f>IF('1-Informations-paramètres '!C55="Non","Il n'a pas été identifié de risque financier spécifique.", IF('1-Informations-paramètres '!C55="Je n'ai pas l'information","Aucune information disponible relative à un autre risque financier spécifique.","Au 31/12/"&amp;'2-Section de Fonctionnement'!F9&amp;" le montant des risques financiers est estimé à "&amp;TEXT('8-Autres enjeux annexes'!M12,"# ##0") &amp;B3 &amp;". En "&amp;'8-Autres enjeux annexes'!S6&amp;" il devrait atteindre environ "&amp;TEXT('8-Autres enjeux annexes'!S12,"# ##0") &amp;B3&amp;", soit une évolution de "&amp;TEXT('8-Autres enjeux annexes'!S12-'8-Autres enjeux annexes'!M12,"# ##0") &amp;B3&amp;". Le montant avéré des provisions budgétaires visant à couvrir le risque est de "&amp;TEXT('8-Autres enjeux annexes'!U12,"# ##0") &amp;B3&amp;"."))</f>
        <v>Au 31/12/3 le montant des risques financiers est estimé à 0. En 9 il devrait atteindre environ 0, soit une évolution de 0. Le montant avéré des provisions budgétaires visant à couvrir le risque est de 0.</v>
      </c>
      <c r="B59" s="668"/>
      <c r="C59" s="668"/>
      <c r="D59" s="669"/>
    </row>
    <row r="60" spans="1:5" ht="57" customHeight="1" thickBot="1" x14ac:dyDescent="0.5">
      <c r="A60" s="673" t="str">
        <f>IF(OR('1-Informations-paramètres '!C55="Non",'1-Informations-paramètres '!C55="Je n'ai pas l'information"),"","Les riques identifiés sont les suivants : "&amp;IF('8-Autres enjeux annexes'!A7="A saisir"," ",IF('8-Autres enjeux annexes'!A7="Aucun risque particulier identifié"," ",'8-Autres enjeux annexes'!B7&amp;"("&amp;'8-Autres enjeux annexes'!C7&amp;"); "))
&amp;IF('8-Autres enjeux annexes'!A8="A saisir"," ",IF('8-Autres enjeux annexes'!A8="Aucun risque particulier identifié"," ",'8-Autres enjeux annexes'!B8&amp;"("&amp;'8-Autres enjeux annexes'!C8&amp;"); ")
&amp;IF('8-Autres enjeux annexes'!A9="A saisir"," ",IF('8-Autres enjeux annexes'!A9="Aucun risque particulier identifié"," ",'8-Autres enjeux annexes'!B9&amp;"("&amp;'8-Autres enjeux annexes'!C9&amp;"); ")
&amp;IF('8-Autres enjeux annexes'!A10="A saisir"," ",IF('8-Autres enjeux annexes'!A10="Aucun risque particulier identifié"," ",'8-Autres enjeux annexes'!B10&amp;"("&amp;'8-Autres enjeux annexes'!C10&amp;"); ")
&amp;IF('8-Autres enjeux annexes'!A11="A saisir"," ",IF('8-Autres enjeux annexes'!A11="Aucun risque particulier identifié"," ",'8-Autres enjeux annexes'!B11&amp;"("&amp;'8-Autres enjeux annexes'!C11&amp;") "))))))</f>
        <v xml:space="preserve">Les riques identifiés sont les suivants :   </v>
      </c>
      <c r="B60" s="674"/>
      <c r="C60" s="674"/>
      <c r="D60" s="675"/>
      <c r="E60" s="437"/>
    </row>
    <row r="61" spans="1:5" ht="32.25" customHeight="1" x14ac:dyDescent="0.45">
      <c r="A61" s="670" t="s">
        <v>159</v>
      </c>
      <c r="B61" s="671"/>
      <c r="C61" s="671"/>
      <c r="D61" s="672"/>
    </row>
    <row r="62" spans="1:5" ht="87.75" customHeight="1" thickBot="1" x14ac:dyDescent="0.5">
      <c r="A62" s="676" t="str">
        <f>IF('1-Informations-paramètres '!C56="Non","Il n'est pas été identifié d'enjeu spécifique au sujet des amortissement.",IF('1-Informations-paramètres '!C56="Je n'ai pas l'information","Aucune information disponible relative aux dotations aux amortissements.","Au 31/12/" &amp;'2-Section de Fonctionnement'!F9 &amp;", les dotations aux amortissements représentent un montant net de "&amp;TEXT('8-Autres enjeux annexes'!D15-'8-Autres enjeux annexes'!D17,"# ##0") &amp;B3&amp;", soit un de taux de "&amp;TEXT('8-Autres enjeux annexes'!D19,"0,0%") &amp;" sur la capacité d'autofinancement.
Plus le ratio s'approche (et dépasse) le seuil de 100% plus il est difficile d'équilibrer le budget prévisionnel et de financer les investissements, y compris les investissements récurrents."&amp;IF('8-Autres enjeux annexes'!D21="Oui","
Il est prévu une hausse du poids des amortissements dans les années à venir.","")))</f>
        <v>Au 31/12/3, les dotations aux amortissements représentent un montant net de 0, soit un de taux de (Données à compléter) sur la capacité d'autofinancement.
Plus le ratio s'approche (et dépasse) le seuil de 100% plus il est difficile d'équilibrer le budget prévisionnel et de financer les investissements, y compris les investissements récurrents.</v>
      </c>
      <c r="B62" s="677"/>
      <c r="C62" s="677"/>
      <c r="D62" s="678"/>
      <c r="E62" s="319"/>
    </row>
    <row r="63" spans="1:5" ht="32.25" customHeight="1" x14ac:dyDescent="0.45">
      <c r="A63" s="670" t="s">
        <v>184</v>
      </c>
      <c r="B63" s="671"/>
      <c r="C63" s="671"/>
      <c r="D63" s="672"/>
    </row>
    <row r="64" spans="1:5" ht="120" customHeight="1" x14ac:dyDescent="0.45">
      <c r="A64" s="667" t="str">
        <f>IF('1-Informations-paramètres '!C54="Non","Il n'a pas été identifié d'enjeu budgétaire concernant les budgets annexes.",IF('1-Informations-paramètres '!C54="Je n'ai pas l'information","Aucune information disponible relative aux budgets annexes.",IF('8-Autres enjeux annexes'!A26="A saisir"," ","Au 31/12/"&amp;'2-Section de Fonctionnement'!F9&amp;", le budget annexe "&amp;'8-Autres enjeux annexes'!B26&amp;" "&amp;'8-Autres enjeux annexes'!E41&amp;'8-Autres enjeux annexes'!D41&amp;". Son encours de dette est "&amp;TEXT('8-Autres enjeux annexes'!E26,"# ##0")&amp;"(" &amp;B3 &amp;")")
&amp;" et le budget dispose d'une "
&amp;'8-Autres enjeux annexes'!C26&amp;"."
&amp;IF('8-Autres enjeux annexes'!A29="A saisir","","
Le budget annexe "&amp;'8-Autres enjeux annexes'!B29&amp;" "&amp;'8-Autres enjeux annexes'!E42&amp;". Son encours de dette est "&amp;TEXT('8-Autres enjeux annexes'!E29,"# ##0") &amp;"(" &amp;B3 &amp;")"
&amp;" et le budget dispose d'une "
&amp;'8-Autres enjeux annexes'!C29&amp;"."&amp;IF('8-Autres enjeux annexes'!A32="A saisir","","
Le budget annexe "&amp;'8-Autres enjeux annexes'!B32&amp;" "&amp;'8-Autres enjeux annexes'!E43&amp;". Son encours de dette est "&amp;TEXT('8-Autres enjeux annexes'!E32,"# ##0")&amp;"(" &amp;B3 &amp;")"
&amp;" et le budget dispose d'une "
&amp;'8-Autres enjeux annexes'!C32&amp;"."))))</f>
        <v>Au 31/12/3, le budget annexe Lotissement communal générera un déficit important avec un pic d'environ 50 en 2029. Son encours de dette est 70() et le budget dispose d'une trésorerie rattachée au budget principal.</v>
      </c>
      <c r="B64" s="668"/>
      <c r="C64" s="668"/>
      <c r="D64" s="669"/>
      <c r="E64" s="426"/>
    </row>
    <row r="65" spans="1:5" ht="125.25" customHeight="1" thickBot="1" x14ac:dyDescent="0.5">
      <c r="A65" s="610" t="e">
        <f>IF(OR('1-Informations-paramètres '!C54="Non",'1-Informations-paramètres '!C54="Je n'ai pas l'information"),"",IF(OR('8-Autres enjeux annexes'!I27&lt;-35%,'8-Autres enjeux annexes'!J27&lt;-35%,'8-Autres enjeux annexes'!K27&lt;-35%,'8-Autres enjeux annexes'!L27&lt;-35%,'8-Autres enjeux annexes'!M27&lt;-35%,'8-Autres enjeux annexes'!N27&lt;-35%),"Dans les années à venir, les budgets et entités annexes représenteront un risque : " &amp;'8-Autres enjeux annexes'!I28 &amp;'8-Autres enjeux annexes'!J28 &amp;'8-Autres enjeux annexes'!K28 &amp;'8-Autres enjeux annexes'!L28 &amp;'8-Autres enjeux annexes'!M28 &amp;'8-Autres enjeux annexes'!N28,""))</f>
        <v>#DIV/0!</v>
      </c>
      <c r="B65" s="611"/>
      <c r="C65" s="611"/>
      <c r="D65" s="612"/>
      <c r="E65" s="426"/>
    </row>
    <row r="66" spans="1:5" ht="32.25" customHeight="1" x14ac:dyDescent="0.45">
      <c r="A66" s="614" t="s">
        <v>110</v>
      </c>
      <c r="B66" s="615"/>
      <c r="C66" s="615"/>
      <c r="D66" s="616"/>
    </row>
    <row r="67" spans="1:5" ht="81.75" customHeight="1" thickBot="1" x14ac:dyDescent="0.5">
      <c r="A67" s="643" t="s">
        <v>200</v>
      </c>
      <c r="B67" s="644"/>
      <c r="C67" s="644"/>
      <c r="D67" s="645"/>
    </row>
    <row r="68" spans="1:5" ht="32.25" customHeight="1" x14ac:dyDescent="0.45">
      <c r="A68" s="425"/>
      <c r="B68" s="425"/>
      <c r="C68" s="425"/>
      <c r="D68" s="425"/>
    </row>
    <row r="69" spans="1:5" ht="32.25" customHeight="1" x14ac:dyDescent="0.45">
      <c r="A69" s="685"/>
      <c r="B69" s="685"/>
      <c r="C69" s="685"/>
      <c r="D69" s="685"/>
    </row>
    <row r="72" spans="1:5" x14ac:dyDescent="0.45">
      <c r="D72" s="426"/>
      <c r="E72" s="426"/>
    </row>
    <row r="73" spans="1:5" x14ac:dyDescent="0.45">
      <c r="D73" s="426"/>
      <c r="E73" s="426"/>
    </row>
    <row r="74" spans="1:5" ht="12" customHeight="1" x14ac:dyDescent="0.45">
      <c r="A74" s="427"/>
      <c r="B74" s="427"/>
      <c r="C74" s="427"/>
      <c r="D74" s="426"/>
      <c r="E74" s="426"/>
    </row>
    <row r="75" spans="1:5" ht="11.25" customHeight="1" x14ac:dyDescent="0.45">
      <c r="A75" s="427"/>
      <c r="B75" s="427"/>
      <c r="C75" s="427"/>
      <c r="D75" s="426"/>
      <c r="E75" s="426"/>
    </row>
  </sheetData>
  <sheetProtection algorithmName="SHA-512" hashValue="7AMHjAZKiaup/MrAgoujqouZ+mP7AGfqGvSOYUNhwjsxfPM1hCu0r/O/ObSino50L46jBHy63nKcLcDxs4KXHQ==" saltValue="rDQzUFPgBhYWqC1a8MtGAg==" spinCount="100000" sheet="1" objects="1" scenarios="1"/>
  <mergeCells count="60">
    <mergeCell ref="A69:D69"/>
    <mergeCell ref="A59:D59"/>
    <mergeCell ref="A23:D23"/>
    <mergeCell ref="A25:D25"/>
    <mergeCell ref="A27:D27"/>
    <mergeCell ref="A43:D43"/>
    <mergeCell ref="A36:D36"/>
    <mergeCell ref="A38:D38"/>
    <mergeCell ref="A37:D37"/>
    <mergeCell ref="A40:D40"/>
    <mergeCell ref="A42:D42"/>
    <mergeCell ref="A41:D41"/>
    <mergeCell ref="A39:D39"/>
    <mergeCell ref="A57:D57"/>
    <mergeCell ref="A45:D45"/>
    <mergeCell ref="A67:D67"/>
    <mergeCell ref="A26:D26"/>
    <mergeCell ref="A47:D47"/>
    <mergeCell ref="A48:D48"/>
    <mergeCell ref="A50:D50"/>
    <mergeCell ref="A51:D51"/>
    <mergeCell ref="A49:D49"/>
    <mergeCell ref="A64:D64"/>
    <mergeCell ref="A58:D58"/>
    <mergeCell ref="A61:D61"/>
    <mergeCell ref="A63:D63"/>
    <mergeCell ref="A60:D60"/>
    <mergeCell ref="A62:D62"/>
    <mergeCell ref="A20:D20"/>
    <mergeCell ref="A44:D44"/>
    <mergeCell ref="A55:D55"/>
    <mergeCell ref="A8:D8"/>
    <mergeCell ref="A12:D12"/>
    <mergeCell ref="A24:D24"/>
    <mergeCell ref="A14:D14"/>
    <mergeCell ref="A29:D29"/>
    <mergeCell ref="A30:D30"/>
    <mergeCell ref="A28:D28"/>
    <mergeCell ref="A17:D17"/>
    <mergeCell ref="A53:D53"/>
    <mergeCell ref="A31:D31"/>
    <mergeCell ref="A32:D32"/>
    <mergeCell ref="A52:D52"/>
    <mergeCell ref="A46:D46"/>
    <mergeCell ref="A65:D65"/>
    <mergeCell ref="A6:D6"/>
    <mergeCell ref="A66:D66"/>
    <mergeCell ref="A54:D54"/>
    <mergeCell ref="A1:D1"/>
    <mergeCell ref="A18:D18"/>
    <mergeCell ref="A15:D15"/>
    <mergeCell ref="A22:D22"/>
    <mergeCell ref="A13:D13"/>
    <mergeCell ref="A10:D10"/>
    <mergeCell ref="A11:D11"/>
    <mergeCell ref="A7:D7"/>
    <mergeCell ref="A16:D16"/>
    <mergeCell ref="A9:D9"/>
    <mergeCell ref="A19:D19"/>
    <mergeCell ref="A21:D21"/>
  </mergeCells>
  <pageMargins left="0.25" right="0.25" top="0.75" bottom="0.75" header="0.3" footer="0.3"/>
  <pageSetup paperSize="9" orientation="portrait" r:id="rId1"/>
  <headerFooter>
    <oddHeader xml:space="preserve">&amp;LElanVision : outil proposé par ElanRural.fr </oddHeader>
  </headerFooter>
  <rowBreaks count="2" manualBreakCount="2">
    <brk id="35" max="16383" man="1"/>
    <brk id="56" max="3"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B1D70A-C13C-4CDB-93E7-B930767BDA9A}">
  <sheetPr>
    <pageSetUpPr fitToPage="1"/>
  </sheetPr>
  <dimension ref="A1:K151"/>
  <sheetViews>
    <sheetView zoomScale="85" zoomScaleNormal="85" workbookViewId="0">
      <selection activeCell="K11" sqref="K11"/>
    </sheetView>
  </sheetViews>
  <sheetFormatPr baseColWidth="10" defaultRowHeight="14.5" x14ac:dyDescent="0.35"/>
  <sheetData>
    <row r="1" spans="1:11" ht="18.75" customHeight="1" x14ac:dyDescent="0.55000000000000004">
      <c r="A1" s="620" t="str">
        <f>"Graphiques issus de la saisie des données - Scénario " &amp;'1-Informations-paramètres '!C9</f>
        <v xml:space="preserve">Graphiques issus de la saisie des données - Scénario </v>
      </c>
      <c r="B1" s="620"/>
      <c r="C1" s="620"/>
      <c r="D1" s="620"/>
      <c r="E1" s="620"/>
      <c r="F1" s="620"/>
      <c r="G1" s="620"/>
      <c r="H1" s="620"/>
      <c r="I1" s="620"/>
      <c r="J1" s="620"/>
    </row>
    <row r="2" spans="1:11" ht="27.75" customHeight="1" x14ac:dyDescent="0.4">
      <c r="A2" s="702" t="str">
        <f>"Les montants ci-dessous sont exprimés " &amp;'1-Informations-paramètres '!C10 &amp;". Il est nécessaire de finaliser la saisie des précédents modules afin d'obtenir
 un rapport graphique totalement exploitable."</f>
        <v>Les montants ci-dessous sont exprimés . Il est nécessaire de finaliser la saisie des précédents modules afin d'obtenir
 un rapport graphique totalement exploitable.</v>
      </c>
      <c r="B2" s="702"/>
      <c r="C2" s="702"/>
      <c r="D2" s="702"/>
      <c r="E2" s="702"/>
      <c r="F2" s="702"/>
      <c r="G2" s="702"/>
      <c r="H2" s="702"/>
      <c r="I2" s="702"/>
      <c r="J2" s="702"/>
    </row>
    <row r="3" spans="1:11" ht="15" customHeight="1" x14ac:dyDescent="0.55000000000000004">
      <c r="A3" s="472"/>
      <c r="B3" s="472"/>
      <c r="C3" s="472"/>
      <c r="D3" s="472"/>
      <c r="E3" s="472"/>
      <c r="F3" s="472"/>
      <c r="G3" s="472"/>
      <c r="H3" s="472"/>
      <c r="I3" s="472"/>
      <c r="J3" s="472"/>
      <c r="K3" s="447"/>
    </row>
    <row r="4" spans="1:11" ht="20" x14ac:dyDescent="0.55000000000000004">
      <c r="A4" s="473"/>
      <c r="B4" s="473"/>
      <c r="C4" s="473"/>
      <c r="D4" s="473"/>
      <c r="E4" s="473"/>
      <c r="F4" s="473"/>
      <c r="G4" s="473"/>
      <c r="H4" s="473"/>
      <c r="I4" s="473"/>
      <c r="J4" s="473"/>
      <c r="K4" s="447"/>
    </row>
    <row r="5" spans="1:11" x14ac:dyDescent="0.35">
      <c r="A5" s="467"/>
      <c r="B5" s="467"/>
      <c r="C5" s="467"/>
      <c r="D5" s="467"/>
      <c r="E5" s="467"/>
      <c r="F5" s="467"/>
      <c r="G5" s="467"/>
      <c r="H5" s="467"/>
      <c r="I5" s="467"/>
      <c r="J5" s="467"/>
    </row>
    <row r="6" spans="1:11" x14ac:dyDescent="0.35">
      <c r="A6" s="467"/>
      <c r="B6" s="467"/>
      <c r="C6" s="467"/>
      <c r="D6" s="467"/>
      <c r="E6" s="467"/>
      <c r="F6" s="467"/>
      <c r="G6" s="467"/>
      <c r="H6" s="467"/>
      <c r="I6" s="467"/>
      <c r="J6" s="467"/>
    </row>
    <row r="7" spans="1:11" x14ac:dyDescent="0.35">
      <c r="A7" s="467"/>
      <c r="B7" s="467"/>
      <c r="C7" s="467"/>
      <c r="D7" s="467"/>
      <c r="E7" s="467"/>
      <c r="F7" s="467"/>
      <c r="G7" s="467"/>
      <c r="H7" s="467"/>
      <c r="I7" s="467"/>
      <c r="J7" s="467"/>
    </row>
    <row r="8" spans="1:11" x14ac:dyDescent="0.35">
      <c r="A8" s="467"/>
      <c r="B8" s="467"/>
      <c r="C8" s="467"/>
      <c r="D8" s="467"/>
      <c r="E8" s="467"/>
      <c r="F8" s="467"/>
      <c r="G8" s="467"/>
      <c r="H8" s="467"/>
      <c r="I8" s="467"/>
      <c r="J8" s="467"/>
    </row>
    <row r="9" spans="1:11" x14ac:dyDescent="0.35">
      <c r="A9" s="467"/>
      <c r="B9" s="467"/>
      <c r="C9" s="467"/>
      <c r="D9" s="467"/>
      <c r="E9" s="467"/>
      <c r="F9" s="467"/>
      <c r="G9" s="467"/>
      <c r="H9" s="467"/>
      <c r="I9" s="467"/>
      <c r="J9" s="467"/>
    </row>
    <row r="10" spans="1:11" x14ac:dyDescent="0.35">
      <c r="A10" s="467"/>
      <c r="B10" s="467"/>
      <c r="C10" s="467"/>
      <c r="D10" s="467"/>
      <c r="E10" s="467"/>
      <c r="F10" s="467"/>
      <c r="G10" s="467"/>
      <c r="H10" s="467"/>
      <c r="I10" s="467"/>
      <c r="J10" s="467"/>
    </row>
    <row r="11" spans="1:11" x14ac:dyDescent="0.35">
      <c r="A11" s="467"/>
      <c r="B11" s="467"/>
      <c r="C11" s="467"/>
      <c r="D11" s="467"/>
      <c r="E11" s="467"/>
      <c r="F11" s="467"/>
      <c r="G11" s="467"/>
      <c r="H11" s="467"/>
      <c r="I11" s="467"/>
      <c r="J11" s="467"/>
    </row>
    <row r="12" spans="1:11" x14ac:dyDescent="0.35">
      <c r="A12" s="467"/>
      <c r="B12" s="467"/>
      <c r="C12" s="467"/>
      <c r="D12" s="467"/>
      <c r="E12" s="467"/>
      <c r="F12" s="467"/>
      <c r="G12" s="467"/>
      <c r="H12" s="467"/>
      <c r="I12" s="467"/>
      <c r="J12" s="467"/>
    </row>
    <row r="13" spans="1:11" ht="23.25" customHeight="1" x14ac:dyDescent="0.35">
      <c r="A13" s="467"/>
      <c r="B13" s="467"/>
      <c r="C13" s="467"/>
      <c r="D13" s="467"/>
      <c r="E13" s="467"/>
      <c r="F13" s="467"/>
      <c r="G13" s="467"/>
      <c r="H13" s="467"/>
      <c r="I13" s="467"/>
      <c r="J13" s="467"/>
    </row>
    <row r="14" spans="1:11" x14ac:dyDescent="0.35">
      <c r="A14" s="467"/>
      <c r="B14" s="467"/>
      <c r="C14" s="467"/>
      <c r="D14" s="467"/>
      <c r="E14" s="467"/>
      <c r="F14" s="467"/>
      <c r="G14" s="467"/>
      <c r="H14" s="467"/>
      <c r="I14" s="467"/>
      <c r="J14" s="467"/>
    </row>
    <row r="15" spans="1:11" x14ac:dyDescent="0.35">
      <c r="A15" s="467"/>
      <c r="B15" s="467"/>
      <c r="C15" s="467"/>
      <c r="D15" s="467"/>
      <c r="E15" s="467"/>
      <c r="F15" s="467"/>
      <c r="G15" s="467"/>
      <c r="H15" s="467"/>
      <c r="I15" s="467"/>
      <c r="J15" s="467"/>
    </row>
    <row r="16" spans="1:11" x14ac:dyDescent="0.35">
      <c r="A16" s="467"/>
      <c r="B16" s="467"/>
      <c r="C16" s="467"/>
      <c r="D16" s="467"/>
      <c r="E16" s="467"/>
      <c r="F16" s="467"/>
      <c r="G16" s="467"/>
      <c r="H16" s="467"/>
      <c r="I16" s="467"/>
      <c r="J16" s="467"/>
    </row>
    <row r="17" spans="1:10" x14ac:dyDescent="0.35">
      <c r="A17" s="467"/>
      <c r="B17" s="467"/>
      <c r="C17" s="467"/>
      <c r="D17" s="467"/>
      <c r="E17" s="467"/>
      <c r="F17" s="467"/>
      <c r="G17" s="467"/>
      <c r="H17" s="467"/>
      <c r="I17" s="467"/>
      <c r="J17" s="467"/>
    </row>
    <row r="18" spans="1:10" x14ac:dyDescent="0.35">
      <c r="A18" s="467"/>
      <c r="B18" s="467"/>
      <c r="C18" s="467"/>
      <c r="D18" s="467"/>
      <c r="E18" s="467"/>
      <c r="F18" s="467"/>
      <c r="G18" s="467"/>
      <c r="H18" s="467"/>
      <c r="I18" s="467"/>
      <c r="J18" s="467"/>
    </row>
    <row r="19" spans="1:10" x14ac:dyDescent="0.35">
      <c r="A19" s="467"/>
      <c r="B19" s="467"/>
      <c r="C19" s="467"/>
      <c r="D19" s="467"/>
      <c r="E19" s="467"/>
      <c r="F19" s="467"/>
      <c r="G19" s="467"/>
      <c r="H19" s="467"/>
      <c r="I19" s="467"/>
      <c r="J19" s="467"/>
    </row>
    <row r="20" spans="1:10" x14ac:dyDescent="0.35">
      <c r="A20" s="467"/>
      <c r="B20" s="467"/>
      <c r="C20" s="467"/>
      <c r="D20" s="467"/>
      <c r="E20" s="467"/>
      <c r="F20" s="467"/>
      <c r="G20" s="467"/>
      <c r="H20" s="467"/>
      <c r="I20" s="467"/>
      <c r="J20" s="467"/>
    </row>
    <row r="21" spans="1:10" x14ac:dyDescent="0.35">
      <c r="A21" s="467"/>
      <c r="B21" s="467"/>
      <c r="C21" s="467"/>
      <c r="D21" s="467"/>
      <c r="E21" s="467"/>
      <c r="F21" s="467"/>
      <c r="G21" s="467"/>
      <c r="H21" s="467"/>
      <c r="I21" s="467"/>
      <c r="J21" s="467"/>
    </row>
    <row r="22" spans="1:10" x14ac:dyDescent="0.35">
      <c r="A22" s="467"/>
      <c r="B22" s="467"/>
      <c r="C22" s="467"/>
      <c r="D22" s="467"/>
      <c r="E22" s="467"/>
      <c r="F22" s="467"/>
      <c r="G22" s="467"/>
      <c r="H22" s="467"/>
      <c r="I22" s="467"/>
      <c r="J22" s="467"/>
    </row>
    <row r="23" spans="1:10" x14ac:dyDescent="0.35">
      <c r="A23" s="467"/>
      <c r="B23" s="467"/>
      <c r="C23" s="467"/>
      <c r="D23" s="467"/>
      <c r="E23" s="467"/>
      <c r="F23" s="467"/>
      <c r="G23" s="467"/>
      <c r="H23" s="467"/>
      <c r="I23" s="467"/>
      <c r="J23" s="467"/>
    </row>
    <row r="24" spans="1:10" x14ac:dyDescent="0.35">
      <c r="A24" s="467"/>
      <c r="B24" s="467"/>
      <c r="C24" s="467"/>
      <c r="D24" s="467"/>
      <c r="E24" s="467"/>
      <c r="F24" s="467"/>
      <c r="G24" s="467"/>
      <c r="H24" s="467"/>
      <c r="I24" s="467"/>
      <c r="J24" s="467"/>
    </row>
    <row r="25" spans="1:10" x14ac:dyDescent="0.35">
      <c r="A25" s="467"/>
      <c r="B25" s="467"/>
      <c r="C25" s="467"/>
      <c r="D25" s="467"/>
      <c r="E25" s="467"/>
      <c r="F25" s="467"/>
      <c r="G25" s="467"/>
      <c r="H25" s="467"/>
      <c r="I25" s="467"/>
      <c r="J25" s="467"/>
    </row>
    <row r="26" spans="1:10" x14ac:dyDescent="0.35">
      <c r="A26" s="467"/>
      <c r="B26" s="467"/>
      <c r="C26" s="467"/>
      <c r="D26" s="467"/>
      <c r="E26" s="467"/>
      <c r="F26" s="467"/>
      <c r="G26" s="467"/>
      <c r="H26" s="467"/>
      <c r="I26" s="467"/>
      <c r="J26" s="467"/>
    </row>
    <row r="27" spans="1:10" x14ac:dyDescent="0.35">
      <c r="A27" s="467"/>
      <c r="B27" s="467"/>
      <c r="C27" s="467"/>
      <c r="D27" s="467"/>
      <c r="E27" s="467"/>
      <c r="F27" s="467"/>
      <c r="G27" s="467"/>
      <c r="H27" s="467"/>
      <c r="I27" s="467"/>
      <c r="J27" s="467"/>
    </row>
    <row r="28" spans="1:10" x14ac:dyDescent="0.35">
      <c r="A28" s="467"/>
      <c r="B28" s="467"/>
      <c r="C28" s="467"/>
      <c r="D28" s="467"/>
      <c r="E28" s="467"/>
      <c r="F28" s="467"/>
      <c r="G28" s="467"/>
      <c r="H28" s="467"/>
      <c r="I28" s="467"/>
      <c r="J28" s="467"/>
    </row>
    <row r="29" spans="1:10" x14ac:dyDescent="0.35">
      <c r="A29" s="467"/>
      <c r="B29" s="467"/>
      <c r="C29" s="467"/>
      <c r="D29" s="467"/>
      <c r="E29" s="467"/>
      <c r="F29" s="467"/>
      <c r="G29" s="467"/>
      <c r="H29" s="467"/>
      <c r="I29" s="467"/>
      <c r="J29" s="467"/>
    </row>
    <row r="30" spans="1:10" x14ac:dyDescent="0.35">
      <c r="A30" s="467"/>
      <c r="B30" s="467"/>
      <c r="C30" s="467"/>
      <c r="D30" s="467"/>
      <c r="E30" s="467"/>
      <c r="F30" s="467"/>
      <c r="G30" s="467"/>
      <c r="H30" s="467"/>
      <c r="I30" s="467"/>
      <c r="J30" s="467"/>
    </row>
    <row r="31" spans="1:10" x14ac:dyDescent="0.35">
      <c r="A31" s="467"/>
      <c r="B31" s="467"/>
      <c r="C31" s="467"/>
      <c r="D31" s="467"/>
      <c r="E31" s="467"/>
      <c r="F31" s="467"/>
      <c r="G31" s="467"/>
      <c r="H31" s="467"/>
      <c r="I31" s="467"/>
      <c r="J31" s="467"/>
    </row>
    <row r="32" spans="1:10" x14ac:dyDescent="0.35">
      <c r="A32" s="467"/>
      <c r="B32" s="467"/>
      <c r="C32" s="467"/>
      <c r="D32" s="467"/>
      <c r="E32" s="467"/>
      <c r="F32" s="467"/>
      <c r="G32" s="467"/>
      <c r="H32" s="467"/>
      <c r="I32" s="467"/>
      <c r="J32" s="467"/>
    </row>
    <row r="33" spans="1:10" x14ac:dyDescent="0.35">
      <c r="A33" s="467"/>
      <c r="B33" s="467"/>
      <c r="C33" s="467"/>
      <c r="D33" s="467"/>
      <c r="E33" s="467"/>
      <c r="F33" s="467"/>
      <c r="G33" s="467"/>
      <c r="H33" s="467"/>
      <c r="I33" s="467"/>
      <c r="J33" s="467"/>
    </row>
    <row r="34" spans="1:10" x14ac:dyDescent="0.35">
      <c r="A34" s="467"/>
      <c r="B34" s="467"/>
      <c r="C34" s="467"/>
      <c r="D34" s="467"/>
      <c r="E34" s="467"/>
      <c r="F34" s="467"/>
      <c r="G34" s="467"/>
      <c r="H34" s="467"/>
      <c r="I34" s="467"/>
      <c r="J34" s="467"/>
    </row>
    <row r="35" spans="1:10" x14ac:dyDescent="0.35">
      <c r="A35" s="467"/>
      <c r="B35" s="467"/>
      <c r="C35" s="467"/>
      <c r="D35" s="467"/>
      <c r="E35" s="467"/>
      <c r="F35" s="467"/>
      <c r="G35" s="467"/>
      <c r="H35" s="467"/>
      <c r="I35" s="467"/>
      <c r="J35" s="467"/>
    </row>
    <row r="36" spans="1:10" x14ac:dyDescent="0.35">
      <c r="A36" s="467"/>
      <c r="B36" s="467"/>
      <c r="C36" s="467"/>
      <c r="D36" s="467"/>
      <c r="E36" s="467"/>
      <c r="F36" s="467"/>
      <c r="G36" s="467"/>
      <c r="H36" s="467"/>
      <c r="I36" s="467"/>
      <c r="J36" s="467"/>
    </row>
    <row r="37" spans="1:10" x14ac:dyDescent="0.35">
      <c r="A37" s="467"/>
      <c r="B37" s="467"/>
      <c r="C37" s="467"/>
      <c r="D37" s="467"/>
      <c r="E37" s="467"/>
      <c r="F37" s="467"/>
      <c r="G37" s="467"/>
      <c r="H37" s="467"/>
      <c r="I37" s="467"/>
      <c r="J37" s="467"/>
    </row>
    <row r="38" spans="1:10" x14ac:dyDescent="0.35">
      <c r="A38" s="467"/>
      <c r="B38" s="467"/>
      <c r="C38" s="467"/>
      <c r="D38" s="467"/>
      <c r="E38" s="467"/>
      <c r="F38" s="467"/>
      <c r="G38" s="467"/>
      <c r="H38" s="467"/>
      <c r="I38" s="467"/>
      <c r="J38" s="467"/>
    </row>
    <row r="39" spans="1:10" x14ac:dyDescent="0.35">
      <c r="A39" s="467"/>
      <c r="B39" s="467"/>
      <c r="C39" s="467"/>
      <c r="D39" s="467"/>
      <c r="E39" s="467"/>
      <c r="F39" s="467"/>
      <c r="G39" s="467"/>
      <c r="H39" s="467"/>
      <c r="I39" s="467"/>
      <c r="J39" s="467"/>
    </row>
    <row r="40" spans="1:10" x14ac:dyDescent="0.35">
      <c r="A40" s="467"/>
      <c r="B40" s="467"/>
      <c r="C40" s="467"/>
      <c r="D40" s="467"/>
      <c r="E40" s="467"/>
      <c r="F40" s="467"/>
      <c r="G40" s="467"/>
      <c r="H40" s="467"/>
      <c r="I40" s="467"/>
      <c r="J40" s="467"/>
    </row>
    <row r="41" spans="1:10" x14ac:dyDescent="0.35">
      <c r="A41" s="467"/>
      <c r="B41" s="467"/>
      <c r="C41" s="467"/>
      <c r="D41" s="467"/>
      <c r="E41" s="467"/>
      <c r="F41" s="467"/>
      <c r="G41" s="467"/>
      <c r="H41" s="467"/>
      <c r="I41" s="467"/>
      <c r="J41" s="467"/>
    </row>
    <row r="42" spans="1:10" x14ac:dyDescent="0.35">
      <c r="A42" s="467"/>
      <c r="B42" s="467"/>
      <c r="C42" s="467"/>
      <c r="D42" s="467"/>
      <c r="E42" s="467"/>
      <c r="F42" s="467"/>
      <c r="G42" s="467"/>
      <c r="H42" s="467"/>
      <c r="I42" s="467"/>
      <c r="J42" s="467"/>
    </row>
    <row r="43" spans="1:10" x14ac:dyDescent="0.35">
      <c r="A43" s="467"/>
      <c r="B43" s="467"/>
      <c r="C43" s="467"/>
      <c r="D43" s="467"/>
      <c r="E43" s="467"/>
      <c r="F43" s="467"/>
      <c r="G43" s="467"/>
      <c r="H43" s="467"/>
      <c r="I43" s="467"/>
      <c r="J43" s="467"/>
    </row>
    <row r="44" spans="1:10" x14ac:dyDescent="0.35">
      <c r="A44" s="467"/>
      <c r="B44" s="467"/>
      <c r="C44" s="467"/>
      <c r="D44" s="467"/>
      <c r="E44" s="467"/>
      <c r="F44" s="467"/>
      <c r="G44" s="467"/>
      <c r="H44" s="467"/>
      <c r="I44" s="467"/>
      <c r="J44" s="467"/>
    </row>
    <row r="45" spans="1:10" x14ac:dyDescent="0.35">
      <c r="A45" s="467"/>
      <c r="B45" s="467"/>
      <c r="C45" s="467"/>
      <c r="D45" s="467"/>
      <c r="E45" s="467"/>
      <c r="F45" s="467"/>
      <c r="G45" s="467"/>
      <c r="H45" s="467"/>
      <c r="I45" s="467"/>
      <c r="J45" s="467"/>
    </row>
    <row r="46" spans="1:10" x14ac:dyDescent="0.35">
      <c r="A46" s="467"/>
      <c r="B46" s="467"/>
      <c r="C46" s="467"/>
      <c r="D46" s="467"/>
      <c r="E46" s="467"/>
      <c r="F46" s="467"/>
      <c r="G46" s="467"/>
      <c r="H46" s="467"/>
      <c r="I46" s="467"/>
      <c r="J46" s="467"/>
    </row>
    <row r="47" spans="1:10" x14ac:dyDescent="0.35">
      <c r="A47" s="467"/>
      <c r="B47" s="467"/>
      <c r="C47" s="467"/>
      <c r="D47" s="467"/>
      <c r="E47" s="467"/>
      <c r="F47" s="467"/>
      <c r="G47" s="467"/>
      <c r="H47" s="467"/>
      <c r="I47" s="467"/>
      <c r="J47" s="467"/>
    </row>
    <row r="48" spans="1:10" x14ac:dyDescent="0.35">
      <c r="A48" s="467"/>
      <c r="B48" s="467"/>
      <c r="C48" s="467"/>
      <c r="D48" s="467"/>
      <c r="E48" s="467"/>
      <c r="F48" s="467"/>
      <c r="G48" s="467"/>
      <c r="H48" s="467"/>
      <c r="I48" s="467"/>
      <c r="J48" s="467"/>
    </row>
    <row r="49" spans="1:11" ht="20" x14ac:dyDescent="0.55000000000000004">
      <c r="A49" s="620" t="s">
        <v>170</v>
      </c>
      <c r="B49" s="620"/>
      <c r="C49" s="620"/>
      <c r="D49" s="620"/>
      <c r="E49" s="620"/>
      <c r="F49" s="620"/>
      <c r="G49" s="620"/>
      <c r="H49" s="620"/>
      <c r="I49" s="620"/>
      <c r="J49" s="620"/>
    </row>
    <row r="50" spans="1:11" ht="17" x14ac:dyDescent="0.5">
      <c r="A50" s="703" t="s">
        <v>169</v>
      </c>
      <c r="B50" s="703"/>
      <c r="C50" s="703"/>
      <c r="D50" s="703"/>
      <c r="E50" s="704"/>
      <c r="F50" s="705" t="s">
        <v>179</v>
      </c>
      <c r="G50" s="705"/>
      <c r="H50" s="705"/>
      <c r="I50" s="705"/>
      <c r="J50" s="705"/>
    </row>
    <row r="51" spans="1:11" ht="16" x14ac:dyDescent="0.45">
      <c r="A51" s="448" t="s">
        <v>165</v>
      </c>
      <c r="B51" s="701" t="s">
        <v>9</v>
      </c>
      <c r="C51" s="701"/>
      <c r="D51" s="701"/>
      <c r="E51" s="470"/>
      <c r="F51" s="449" t="s">
        <v>165</v>
      </c>
      <c r="G51" s="701" t="s">
        <v>15</v>
      </c>
      <c r="H51" s="701"/>
      <c r="I51" s="701"/>
      <c r="J51" s="471"/>
    </row>
    <row r="52" spans="1:11" ht="16" x14ac:dyDescent="0.45">
      <c r="A52" s="448" t="s">
        <v>166</v>
      </c>
      <c r="B52" s="701" t="s">
        <v>176</v>
      </c>
      <c r="C52" s="701"/>
      <c r="D52" s="701"/>
      <c r="E52" s="470"/>
      <c r="F52" s="449" t="s">
        <v>166</v>
      </c>
      <c r="G52" s="701" t="s">
        <v>177</v>
      </c>
      <c r="H52" s="701"/>
      <c r="I52" s="701"/>
      <c r="J52" s="471"/>
    </row>
    <row r="53" spans="1:11" x14ac:dyDescent="0.35">
      <c r="A53" s="461"/>
      <c r="B53" s="461"/>
      <c r="C53" s="461"/>
      <c r="D53" s="461"/>
      <c r="E53" s="462"/>
      <c r="F53" s="467"/>
      <c r="G53" s="467"/>
      <c r="H53" s="467"/>
      <c r="I53" s="467"/>
      <c r="J53" s="467"/>
    </row>
    <row r="54" spans="1:11" hidden="1" x14ac:dyDescent="0.35">
      <c r="A54" s="463" t="s">
        <v>168</v>
      </c>
      <c r="B54" s="463">
        <v>2022</v>
      </c>
      <c r="C54" s="463">
        <v>2023</v>
      </c>
      <c r="D54" s="463">
        <v>2024</v>
      </c>
      <c r="E54" s="463">
        <v>2025</v>
      </c>
      <c r="F54" s="468">
        <v>2026</v>
      </c>
      <c r="G54" s="463">
        <v>2027</v>
      </c>
      <c r="H54" s="463">
        <v>2028</v>
      </c>
      <c r="I54" s="463">
        <v>2029</v>
      </c>
      <c r="J54" s="463">
        <v>2030</v>
      </c>
      <c r="K54" s="121">
        <v>2031</v>
      </c>
    </row>
    <row r="55" spans="1:11" hidden="1" x14ac:dyDescent="0.35">
      <c r="A55" s="463" t="str">
        <f>B51</f>
        <v>Charges de personnel</v>
      </c>
      <c r="B55" s="464">
        <f>SUMIFS('2-Section de Fonctionnement'!C11:C44,'2-Section de Fonctionnement'!$A$11:$A$44,'7-Graphiques'!$B$51)+SUMIFS('4-Section d''Investissement'!B16:B39,'4-Section d''Investissement'!$A$16:$A$39,'7-Graphiques'!$B$51)</f>
        <v>0</v>
      </c>
      <c r="C55" s="464">
        <f>SUMIFS('2-Section de Fonctionnement'!D11:D44,'2-Section de Fonctionnement'!$A$11:$A$44,'7-Graphiques'!$B$51)+SUMIFS('4-Section d''Investissement'!C16:C39,'4-Section d''Investissement'!$A$16:$A$39,'7-Graphiques'!$B$51)</f>
        <v>0</v>
      </c>
      <c r="D55" s="464">
        <f>SUMIFS('2-Section de Fonctionnement'!E11:E44,'2-Section de Fonctionnement'!$A$11:$A$44,'7-Graphiques'!$B$51)+SUMIFS('4-Section d''Investissement'!D16:D39,'4-Section d''Investissement'!$A$16:$A$39,'7-Graphiques'!$B$51)</f>
        <v>0</v>
      </c>
      <c r="E55" s="464">
        <f>SUMIFS('2-Section de Fonctionnement'!F11:F44,'2-Section de Fonctionnement'!$A$11:$A$44,'7-Graphiques'!$B$51)+SUMIFS('4-Section d''Investissement'!E16:E39,'4-Section d''Investissement'!$A$16:$A$39,'7-Graphiques'!$B$51)</f>
        <v>0</v>
      </c>
      <c r="F55" s="469">
        <f>SUMIFS('2-Section de Fonctionnement'!H11:H44,'2-Section de Fonctionnement'!$A$11:$A$44,'7-Graphiques'!$B$51)+SUMIFS('4-Section d''Investissement'!G16:G39,'4-Section d''Investissement'!$A$16:$A$39,'7-Graphiques'!$B$51)</f>
        <v>0</v>
      </c>
      <c r="G55" s="464">
        <f>SUMIFS('2-Section de Fonctionnement'!I11:I44,'2-Section de Fonctionnement'!$A$11:$A$44,'7-Graphiques'!$B$51)+SUMIFS('4-Section d''Investissement'!H16:H39,'4-Section d''Investissement'!$A$16:$A$39,'7-Graphiques'!$B$51)</f>
        <v>0</v>
      </c>
      <c r="H55" s="464">
        <f>SUMIFS('2-Section de Fonctionnement'!J11:J44,'2-Section de Fonctionnement'!$A$11:$A$44,'7-Graphiques'!$B$51)+SUMIFS('4-Section d''Investissement'!I16:I39,'4-Section d''Investissement'!$A$16:$A$39,'7-Graphiques'!$B$51)</f>
        <v>0</v>
      </c>
      <c r="I55" s="464">
        <f>SUMIFS('2-Section de Fonctionnement'!K11:K44,'2-Section de Fonctionnement'!$A$11:$A$44,'7-Graphiques'!$B$51)+SUMIFS('4-Section d''Investissement'!J16:J39,'4-Section d''Investissement'!$A$16:$A$39,'7-Graphiques'!$B$51)</f>
        <v>0</v>
      </c>
      <c r="J55" s="464">
        <f>SUMIFS('2-Section de Fonctionnement'!L11:L44,'2-Section de Fonctionnement'!$A$11:$A$44,'7-Graphiques'!$B$51)+SUMIFS('4-Section d''Investissement'!K16:K39,'4-Section d''Investissement'!$A$16:$A$39,'7-Graphiques'!$B$51)</f>
        <v>0</v>
      </c>
      <c r="K55" s="445">
        <f>SUMIFS('2-Section de Fonctionnement'!M11:M44,'2-Section de Fonctionnement'!$A$11:$A$44,'7-Graphiques'!$B$51)+SUMIFS('4-Section d''Investissement'!L16:L39,'4-Section d''Investissement'!$A$16:$A$39,'7-Graphiques'!$B$51)</f>
        <v>0</v>
      </c>
    </row>
    <row r="56" spans="1:11" hidden="1" x14ac:dyDescent="0.35">
      <c r="A56" s="463" t="str">
        <f>B52</f>
        <v>Taxe foncière et taxe d'habitation</v>
      </c>
      <c r="B56" s="464">
        <f>SUMIFS('2-Section de Fonctionnement'!C11:C44,'2-Section de Fonctionnement'!$A$11:$A$44,'7-Graphiques'!$B$52)+SUMIFS('4-Section d''Investissement'!B16:B39,'4-Section d''Investissement'!$A$16:$A$39,'7-Graphiques'!$B$52)</f>
        <v>0</v>
      </c>
      <c r="C56" s="464">
        <f>SUMIFS('2-Section de Fonctionnement'!D11:D44,'2-Section de Fonctionnement'!$A$11:$A$44,'7-Graphiques'!$B$52)+SUMIFS('4-Section d''Investissement'!C16:C39,'4-Section d''Investissement'!$A$16:$A$39,'7-Graphiques'!$B$52)</f>
        <v>0</v>
      </c>
      <c r="D56" s="464">
        <f>SUMIFS('2-Section de Fonctionnement'!E11:E44,'2-Section de Fonctionnement'!$A$11:$A$44,'7-Graphiques'!$B$52)+SUMIFS('4-Section d''Investissement'!D16:D39,'4-Section d''Investissement'!$A$16:$A$39,'7-Graphiques'!$B$52)</f>
        <v>0</v>
      </c>
      <c r="E56" s="464">
        <f>SUMIFS('2-Section de Fonctionnement'!F11:F44,'2-Section de Fonctionnement'!$A$11:$A$44,'7-Graphiques'!$B$52)+SUMIFS('4-Section d''Investissement'!E16:E39,'4-Section d''Investissement'!$A$16:$A$39,'7-Graphiques'!$B$52)</f>
        <v>0</v>
      </c>
      <c r="F56" s="469">
        <f>SUMIFS('2-Section de Fonctionnement'!H11:H44,'2-Section de Fonctionnement'!$A$11:$A$44,'7-Graphiques'!$B$52)+SUMIFS('4-Section d''Investissement'!G16:G39,'4-Section d''Investissement'!$A$16:$A$39,'7-Graphiques'!$B$52)</f>
        <v>0</v>
      </c>
      <c r="G56" s="464">
        <f>SUMIFS('2-Section de Fonctionnement'!I11:I44,'2-Section de Fonctionnement'!$A$11:$A$44,'7-Graphiques'!$B$52)+SUMIFS('4-Section d''Investissement'!H16:H39,'4-Section d''Investissement'!$A$16:$A$39,'7-Graphiques'!$B$52)</f>
        <v>0</v>
      </c>
      <c r="H56" s="464">
        <f>SUMIFS('2-Section de Fonctionnement'!J11:J44,'2-Section de Fonctionnement'!$A$11:$A$44,'7-Graphiques'!$B$52)+SUMIFS('4-Section d''Investissement'!I16:I39,'4-Section d''Investissement'!$A$16:$A$39,'7-Graphiques'!$B$52)</f>
        <v>0</v>
      </c>
      <c r="I56" s="464">
        <f>SUMIFS('2-Section de Fonctionnement'!K11:K44,'2-Section de Fonctionnement'!$A$11:$A$44,'7-Graphiques'!$B$52)+SUMIFS('4-Section d''Investissement'!J16:J39,'4-Section d''Investissement'!$A$16:$A$39,'7-Graphiques'!$B$52)</f>
        <v>0</v>
      </c>
      <c r="J56" s="464">
        <f>SUMIFS('2-Section de Fonctionnement'!L11:L44,'2-Section de Fonctionnement'!$A$11:$A$44,'7-Graphiques'!$B$52)+SUMIFS('4-Section d''Investissement'!K16:K39,'4-Section d''Investissement'!$A$16:$A$39,'7-Graphiques'!$B$52)</f>
        <v>0</v>
      </c>
      <c r="K56" s="445">
        <f>SUMIFS('2-Section de Fonctionnement'!M11:M44,'2-Section de Fonctionnement'!$A$11:$A$44,'7-Graphiques'!$B$52)+SUMIFS('4-Section d''Investissement'!L16:L39,'4-Section d''Investissement'!$A$16:$A$39,'7-Graphiques'!$B$52)</f>
        <v>0</v>
      </c>
    </row>
    <row r="57" spans="1:11" hidden="1" x14ac:dyDescent="0.35">
      <c r="A57" s="474"/>
      <c r="B57" s="465"/>
      <c r="C57" s="465"/>
      <c r="D57" s="465"/>
      <c r="E57" s="466"/>
      <c r="F57" s="465"/>
      <c r="G57" s="465"/>
      <c r="H57" s="465"/>
      <c r="I57" s="465"/>
      <c r="J57" s="465"/>
      <c r="K57" s="446"/>
    </row>
    <row r="58" spans="1:11" hidden="1" x14ac:dyDescent="0.35">
      <c r="A58" s="463" t="s">
        <v>168</v>
      </c>
      <c r="B58" s="463">
        <v>2022</v>
      </c>
      <c r="C58" s="463">
        <v>2023</v>
      </c>
      <c r="D58" s="463">
        <v>2024</v>
      </c>
      <c r="E58" s="463">
        <v>2025</v>
      </c>
      <c r="F58" s="468">
        <v>2026</v>
      </c>
      <c r="G58" s="463">
        <v>2027</v>
      </c>
      <c r="H58" s="463">
        <v>2028</v>
      </c>
      <c r="I58" s="463">
        <v>2029</v>
      </c>
      <c r="J58" s="463">
        <v>2030</v>
      </c>
      <c r="K58" s="121">
        <v>2031</v>
      </c>
    </row>
    <row r="59" spans="1:11" hidden="1" x14ac:dyDescent="0.35">
      <c r="A59" s="463" t="str">
        <f>G51</f>
        <v>FCTVA</v>
      </c>
      <c r="B59" s="464">
        <f>SUMIFS('2-Section de Fonctionnement'!C11:C44,'2-Section de Fonctionnement'!$A$11:$A$44,$G$51)+SUMIFS('4-Section d''Investissement'!B16:B39,'4-Section d''Investissement'!$A$16:$A$39,$G$51)</f>
        <v>0</v>
      </c>
      <c r="C59" s="464">
        <f>SUMIFS('2-Section de Fonctionnement'!D11:D44,'2-Section de Fonctionnement'!$A$11:$A$44,$G$51)+SUMIFS('4-Section d''Investissement'!C16:C39,'4-Section d''Investissement'!$A$16:$A$39,$G$51)</f>
        <v>0</v>
      </c>
      <c r="D59" s="464">
        <f>SUMIFS('2-Section de Fonctionnement'!E11:E44,'2-Section de Fonctionnement'!$A$11:$A$44,$G$51)+SUMIFS('4-Section d''Investissement'!D16:D39,'4-Section d''Investissement'!$A$16:$A$39,$G$51)</f>
        <v>0</v>
      </c>
      <c r="E59" s="464">
        <f>SUMIFS('2-Section de Fonctionnement'!F11:F44,'2-Section de Fonctionnement'!$A$11:$A$44,$G$51)+SUMIFS('4-Section d''Investissement'!E16:E39,'4-Section d''Investissement'!$A$16:$A$39,$G$51)</f>
        <v>0</v>
      </c>
      <c r="F59" s="469">
        <f>SUMIFS('2-Section de Fonctionnement'!H11:H44,'2-Section de Fonctionnement'!$A$11:$A$44,'7-Graphiques'!$G$51)+SUMIFS('4-Section d''Investissement'!G16:G39,'4-Section d''Investissement'!$A$16:$A$39,'7-Graphiques'!$G$51)</f>
        <v>0</v>
      </c>
      <c r="G59" s="464">
        <f>SUMIFS('2-Section de Fonctionnement'!I11:I44,'2-Section de Fonctionnement'!$A$11:$A$44,'7-Graphiques'!$G$51)+SUMIFS('4-Section d''Investissement'!H16:H39,'4-Section d''Investissement'!$A$16:$A$39,'7-Graphiques'!$G$51)</f>
        <v>0</v>
      </c>
      <c r="H59" s="464">
        <f>SUMIFS('2-Section de Fonctionnement'!J11:J44,'2-Section de Fonctionnement'!$A$11:$A$44,'7-Graphiques'!$G$51)+SUMIFS('4-Section d''Investissement'!I16:I39,'4-Section d''Investissement'!$A$16:$A$39,'7-Graphiques'!$G$51)</f>
        <v>0</v>
      </c>
      <c r="I59" s="464">
        <f>SUMIFS('2-Section de Fonctionnement'!K11:K44,'2-Section de Fonctionnement'!$A$11:$A$44,'7-Graphiques'!$G$51)+SUMIFS('4-Section d''Investissement'!J16:J39,'4-Section d''Investissement'!$A$16:$A$39,'7-Graphiques'!$G$51)</f>
        <v>0</v>
      </c>
      <c r="J59" s="464">
        <f>SUMIFS('2-Section de Fonctionnement'!L11:L44,'2-Section de Fonctionnement'!$A$11:$A$44,'7-Graphiques'!$G$51)+SUMIFS('4-Section d''Investissement'!K16:K39,'4-Section d''Investissement'!$A$16:$A$39,'7-Graphiques'!$G$51)</f>
        <v>0</v>
      </c>
      <c r="K59" s="445">
        <f>SUMIFS('2-Section de Fonctionnement'!M11:M44,'2-Section de Fonctionnement'!$A$11:$A$44,'7-Graphiques'!$G$51)+SUMIFS('4-Section d''Investissement'!L16:L39,'4-Section d''Investissement'!$A$16:$A$39,'7-Graphiques'!$G$51)</f>
        <v>0</v>
      </c>
    </row>
    <row r="60" spans="1:11" hidden="1" x14ac:dyDescent="0.35">
      <c r="A60" s="463" t="str">
        <f>G52</f>
        <v>Subventions d'investissement reçues</v>
      </c>
      <c r="B60" s="464">
        <f>SUMIFS('2-Section de Fonctionnement'!C11:C44,'2-Section de Fonctionnement'!$A$11:$A$44,'7-Graphiques'!$G$52)+SUMIFS('4-Section d''Investissement'!B16:B39,'4-Section d''Investissement'!$A$16:$A$39,'7-Graphiques'!$G$52)</f>
        <v>0</v>
      </c>
      <c r="C60" s="464">
        <f>SUMIFS('2-Section de Fonctionnement'!D11:D44,'2-Section de Fonctionnement'!$A$11:$A$44,'7-Graphiques'!$G$52)+SUMIFS('4-Section d''Investissement'!C16:C39,'4-Section d''Investissement'!$A$16:$A$39,'7-Graphiques'!$G$52)</f>
        <v>0</v>
      </c>
      <c r="D60" s="464">
        <f>SUMIFS('2-Section de Fonctionnement'!E11:E44,'2-Section de Fonctionnement'!$A$11:$A$44,'7-Graphiques'!$G$52)+SUMIFS('4-Section d''Investissement'!D16:D39,'4-Section d''Investissement'!$A$16:$A$39,'7-Graphiques'!$G$52)</f>
        <v>0</v>
      </c>
      <c r="E60" s="464">
        <f>SUMIFS('2-Section de Fonctionnement'!F11:F44,'2-Section de Fonctionnement'!$A$11:$A$44,'7-Graphiques'!$G$52)+SUMIFS('4-Section d''Investissement'!E16:E39,'4-Section d''Investissement'!$A$16:$A$39,'7-Graphiques'!$G$52)</f>
        <v>0</v>
      </c>
      <c r="F60" s="469">
        <f>SUMIFS('2-Section de Fonctionnement'!H11:H44,'2-Section de Fonctionnement'!$A$11:$A$44,'7-Graphiques'!$G$52)+SUMIFS('4-Section d''Investissement'!G16:G39,'4-Section d''Investissement'!$A$16:$A$39,'7-Graphiques'!$G$52)</f>
        <v>0</v>
      </c>
      <c r="G60" s="464">
        <f>SUMIFS('2-Section de Fonctionnement'!I11:I44,'2-Section de Fonctionnement'!$A$11:$A$44,'7-Graphiques'!$G$52)+SUMIFS('4-Section d''Investissement'!H16:H39,'4-Section d''Investissement'!$A$16:$A$39,'7-Graphiques'!$G$52)</f>
        <v>0</v>
      </c>
      <c r="H60" s="464">
        <f>SUMIFS('2-Section de Fonctionnement'!J11:J44,'2-Section de Fonctionnement'!$A$11:$A$44,'7-Graphiques'!$G$52)+SUMIFS('4-Section d''Investissement'!I16:I39,'4-Section d''Investissement'!$A$16:$A$39,'7-Graphiques'!$G$52)</f>
        <v>0</v>
      </c>
      <c r="I60" s="464">
        <f>SUMIFS('2-Section de Fonctionnement'!K11:K44,'2-Section de Fonctionnement'!$A$11:$A$44,'7-Graphiques'!$G$52)+SUMIFS('4-Section d''Investissement'!J16:J39,'4-Section d''Investissement'!$A$16:$A$39,'7-Graphiques'!$G$52)</f>
        <v>0</v>
      </c>
      <c r="J60" s="464">
        <f>SUMIFS('2-Section de Fonctionnement'!L11:L44,'2-Section de Fonctionnement'!$A$11:$A$44,'7-Graphiques'!$G$52)+SUMIFS('4-Section d''Investissement'!K16:K39,'4-Section d''Investissement'!$A$16:$A$39,'7-Graphiques'!$G$52)</f>
        <v>0</v>
      </c>
      <c r="K60" s="445">
        <f>SUMIFS('2-Section de Fonctionnement'!M11:M44,'2-Section de Fonctionnement'!$A$11:$A$44,'7-Graphiques'!$G$52)+SUMIFS('4-Section d''Investissement'!L16:L39,'4-Section d''Investissement'!$A$16:$A$39,'7-Graphiques'!$G$52)</f>
        <v>0</v>
      </c>
    </row>
    <row r="61" spans="1:11" x14ac:dyDescent="0.35">
      <c r="A61" s="461"/>
      <c r="B61" s="461"/>
      <c r="C61" s="461"/>
      <c r="D61" s="461"/>
      <c r="E61" s="462"/>
      <c r="F61" s="467"/>
      <c r="G61" s="467"/>
      <c r="H61" s="467"/>
      <c r="I61" s="467"/>
      <c r="J61" s="467"/>
    </row>
    <row r="62" spans="1:11" x14ac:dyDescent="0.35">
      <c r="A62" s="461"/>
      <c r="B62" s="461"/>
      <c r="C62" s="461"/>
      <c r="D62" s="461"/>
      <c r="E62" s="462"/>
      <c r="F62" s="467"/>
      <c r="G62" s="467"/>
      <c r="H62" s="467"/>
      <c r="I62" s="467"/>
      <c r="J62" s="467"/>
    </row>
    <row r="63" spans="1:11" x14ac:dyDescent="0.35">
      <c r="A63" s="461"/>
      <c r="B63" s="461"/>
      <c r="C63" s="461"/>
      <c r="D63" s="461"/>
      <c r="E63" s="462"/>
      <c r="F63" s="467"/>
      <c r="G63" s="467"/>
      <c r="H63" s="467"/>
      <c r="I63" s="467"/>
      <c r="J63" s="467"/>
    </row>
    <row r="64" spans="1:11" x14ac:dyDescent="0.35">
      <c r="A64" s="461"/>
      <c r="B64" s="461"/>
      <c r="C64" s="461"/>
      <c r="D64" s="461"/>
      <c r="E64" s="462"/>
      <c r="F64" s="467"/>
      <c r="G64" s="467"/>
      <c r="H64" s="467"/>
      <c r="I64" s="467"/>
      <c r="J64" s="467"/>
    </row>
    <row r="65" spans="1:10" x14ac:dyDescent="0.35">
      <c r="A65" s="461"/>
      <c r="B65" s="461"/>
      <c r="C65" s="461"/>
      <c r="D65" s="461"/>
      <c r="E65" s="462"/>
      <c r="F65" s="467"/>
      <c r="G65" s="467"/>
      <c r="H65" s="467"/>
      <c r="I65" s="467"/>
      <c r="J65" s="467"/>
    </row>
    <row r="66" spans="1:10" x14ac:dyDescent="0.35">
      <c r="A66" s="461"/>
      <c r="B66" s="461"/>
      <c r="C66" s="461"/>
      <c r="D66" s="461"/>
      <c r="E66" s="462"/>
      <c r="F66" s="467"/>
      <c r="G66" s="467"/>
      <c r="H66" s="467"/>
      <c r="I66" s="467"/>
      <c r="J66" s="467"/>
    </row>
    <row r="67" spans="1:10" x14ac:dyDescent="0.35">
      <c r="A67" s="461"/>
      <c r="B67" s="461"/>
      <c r="C67" s="461"/>
      <c r="D67" s="461"/>
      <c r="E67" s="462"/>
      <c r="F67" s="467"/>
      <c r="G67" s="467"/>
      <c r="H67" s="467"/>
      <c r="I67" s="467"/>
      <c r="J67" s="467"/>
    </row>
    <row r="68" spans="1:10" x14ac:dyDescent="0.35">
      <c r="A68" s="461"/>
      <c r="B68" s="461"/>
      <c r="C68" s="461"/>
      <c r="D68" s="461"/>
      <c r="E68" s="462"/>
      <c r="F68" s="467"/>
      <c r="G68" s="467"/>
      <c r="H68" s="467"/>
      <c r="I68" s="467"/>
      <c r="J68" s="467"/>
    </row>
    <row r="69" spans="1:10" x14ac:dyDescent="0.35">
      <c r="A69" s="461"/>
      <c r="B69" s="461"/>
      <c r="C69" s="461"/>
      <c r="D69" s="461"/>
      <c r="E69" s="462"/>
      <c r="F69" s="467"/>
      <c r="G69" s="467"/>
      <c r="H69" s="467"/>
      <c r="I69" s="467"/>
      <c r="J69" s="467"/>
    </row>
    <row r="70" spans="1:10" x14ac:dyDescent="0.35">
      <c r="A70" s="461"/>
      <c r="B70" s="461"/>
      <c r="C70" s="461"/>
      <c r="D70" s="461"/>
      <c r="E70" s="462"/>
      <c r="F70" s="467"/>
      <c r="G70" s="467"/>
      <c r="H70" s="467"/>
      <c r="I70" s="467"/>
      <c r="J70" s="467"/>
    </row>
    <row r="71" spans="1:10" x14ac:dyDescent="0.35">
      <c r="A71" s="461"/>
      <c r="B71" s="461"/>
      <c r="C71" s="461"/>
      <c r="D71" s="461"/>
      <c r="E71" s="462"/>
      <c r="F71" s="467"/>
      <c r="G71" s="467"/>
      <c r="H71" s="467"/>
      <c r="I71" s="467"/>
      <c r="J71" s="467"/>
    </row>
    <row r="72" spans="1:10" x14ac:dyDescent="0.35">
      <c r="A72" s="461"/>
      <c r="B72" s="461"/>
      <c r="C72" s="461"/>
      <c r="D72" s="461"/>
      <c r="E72" s="462"/>
      <c r="F72" s="467"/>
      <c r="G72" s="467"/>
      <c r="H72" s="467"/>
      <c r="I72" s="467"/>
      <c r="J72" s="467"/>
    </row>
    <row r="73" spans="1:10" x14ac:dyDescent="0.35">
      <c r="A73" s="461"/>
      <c r="B73" s="461"/>
      <c r="C73" s="461"/>
      <c r="D73" s="461"/>
      <c r="E73" s="462"/>
      <c r="F73" s="467"/>
      <c r="G73" s="467"/>
      <c r="H73" s="467"/>
      <c r="I73" s="467"/>
      <c r="J73" s="467"/>
    </row>
    <row r="74" spans="1:10" x14ac:dyDescent="0.35">
      <c r="A74" s="461"/>
      <c r="B74" s="461"/>
      <c r="C74" s="461"/>
      <c r="D74" s="461"/>
      <c r="E74" s="462"/>
      <c r="F74" s="467"/>
      <c r="G74" s="467"/>
      <c r="H74" s="467"/>
      <c r="I74" s="467"/>
      <c r="J74" s="467"/>
    </row>
    <row r="75" spans="1:10" x14ac:dyDescent="0.35">
      <c r="A75" s="461"/>
      <c r="B75" s="461"/>
      <c r="C75" s="461"/>
      <c r="D75" s="461"/>
      <c r="E75" s="462"/>
      <c r="F75" s="467"/>
      <c r="G75" s="467"/>
      <c r="H75" s="467"/>
      <c r="I75" s="467"/>
      <c r="J75" s="467"/>
    </row>
    <row r="76" spans="1:10" x14ac:dyDescent="0.35">
      <c r="A76" s="461"/>
      <c r="B76" s="461"/>
      <c r="C76" s="461"/>
      <c r="D76" s="461"/>
      <c r="E76" s="462"/>
      <c r="F76" s="467"/>
      <c r="G76" s="467"/>
      <c r="H76" s="467"/>
      <c r="I76" s="467"/>
      <c r="J76" s="467"/>
    </row>
    <row r="77" spans="1:10" x14ac:dyDescent="0.35">
      <c r="A77" s="461"/>
      <c r="B77" s="461"/>
      <c r="C77" s="461"/>
      <c r="D77" s="461"/>
      <c r="E77" s="462"/>
      <c r="F77" s="467"/>
      <c r="G77" s="467"/>
      <c r="H77" s="467"/>
      <c r="I77" s="467"/>
      <c r="J77" s="467"/>
    </row>
    <row r="78" spans="1:10" x14ac:dyDescent="0.35">
      <c r="A78" s="461"/>
      <c r="B78" s="461"/>
      <c r="C78" s="461"/>
      <c r="D78" s="461"/>
      <c r="E78" s="462"/>
      <c r="F78" s="467"/>
      <c r="G78" s="467"/>
      <c r="H78" s="467"/>
      <c r="I78" s="467"/>
      <c r="J78" s="467"/>
    </row>
    <row r="79" spans="1:10" x14ac:dyDescent="0.35">
      <c r="A79" s="461"/>
      <c r="B79" s="461"/>
      <c r="C79" s="461"/>
      <c r="D79" s="461"/>
      <c r="E79" s="462"/>
      <c r="F79" s="467"/>
      <c r="G79" s="467"/>
      <c r="H79" s="467"/>
      <c r="I79" s="467"/>
      <c r="J79" s="467"/>
    </row>
    <row r="92" spans="1:1" hidden="1" x14ac:dyDescent="0.35">
      <c r="A92" t="s">
        <v>167</v>
      </c>
    </row>
    <row r="93" spans="1:1" hidden="1" x14ac:dyDescent="0.35">
      <c r="A93" t="str">
        <f>'1-Informations-paramètres '!B21</f>
        <v>Charges de personnel</v>
      </c>
    </row>
    <row r="94" spans="1:1" hidden="1" x14ac:dyDescent="0.35">
      <c r="A94" s="444" t="str">
        <f>'1-Informations-paramètres '!B22</f>
        <v>Charges financières (intérêts de la dette)</v>
      </c>
    </row>
    <row r="95" spans="1:1" hidden="1" x14ac:dyDescent="0.35">
      <c r="A95" t="str">
        <f>'1-Informations-paramètres '!B23</f>
        <v xml:space="preserve"> </v>
      </c>
    </row>
    <row r="96" spans="1:1" hidden="1" x14ac:dyDescent="0.35">
      <c r="A96" t="str">
        <f>'1-Informations-paramètres '!B24</f>
        <v xml:space="preserve"> </v>
      </c>
    </row>
    <row r="97" spans="1:1" hidden="1" x14ac:dyDescent="0.35">
      <c r="A97" t="str">
        <f>'1-Informations-paramètres '!B25</f>
        <v xml:space="preserve"> </v>
      </c>
    </row>
    <row r="98" spans="1:1" hidden="1" x14ac:dyDescent="0.35">
      <c r="A98" t="str">
        <f>'1-Informations-paramètres '!B26</f>
        <v xml:space="preserve"> </v>
      </c>
    </row>
    <row r="99" spans="1:1" hidden="1" x14ac:dyDescent="0.35">
      <c r="A99" t="str">
        <f>'1-Informations-paramètres '!B27</f>
        <v xml:space="preserve"> </v>
      </c>
    </row>
    <row r="100" spans="1:1" hidden="1" x14ac:dyDescent="0.35">
      <c r="A100" t="str">
        <f>'1-Informations-paramètres '!B28</f>
        <v xml:space="preserve"> </v>
      </c>
    </row>
    <row r="101" spans="1:1" hidden="1" x14ac:dyDescent="0.35">
      <c r="A101" t="str">
        <f>'1-Informations-paramètres '!B29</f>
        <v xml:space="preserve"> </v>
      </c>
    </row>
    <row r="102" spans="1:1" hidden="1" x14ac:dyDescent="0.35">
      <c r="A102" t="str">
        <f>'1-Informations-paramètres '!B30</f>
        <v xml:space="preserve"> </v>
      </c>
    </row>
    <row r="103" spans="1:1" hidden="1" x14ac:dyDescent="0.35">
      <c r="A103" t="str">
        <f>'1-Informations-paramètres '!B31</f>
        <v xml:space="preserve"> </v>
      </c>
    </row>
    <row r="104" spans="1:1" hidden="1" x14ac:dyDescent="0.35">
      <c r="A104" t="str">
        <f>'1-Informations-paramètres '!B32</f>
        <v xml:space="preserve"> </v>
      </c>
    </row>
    <row r="105" spans="1:1" hidden="1" x14ac:dyDescent="0.35">
      <c r="A105" t="str">
        <f>'1-Informations-paramètres '!B33</f>
        <v xml:space="preserve"> </v>
      </c>
    </row>
    <row r="106" spans="1:1" hidden="1" x14ac:dyDescent="0.35">
      <c r="A106" t="str">
        <f>'1-Informations-paramètres '!B34</f>
        <v xml:space="preserve"> </v>
      </c>
    </row>
    <row r="107" spans="1:1" hidden="1" x14ac:dyDescent="0.35">
      <c r="A107" t="str">
        <f>'1-Informations-paramètres '!B35</f>
        <v>Autres dépenses réelles de fonctionnement</v>
      </c>
    </row>
    <row r="108" spans="1:1" hidden="1" x14ac:dyDescent="0.35">
      <c r="A108" t="str">
        <f>'1-Informations-paramètres '!D21</f>
        <v xml:space="preserve"> </v>
      </c>
    </row>
    <row r="109" spans="1:1" hidden="1" x14ac:dyDescent="0.35">
      <c r="A109" t="str">
        <f>'1-Informations-paramètres '!D22</f>
        <v xml:space="preserve"> </v>
      </c>
    </row>
    <row r="110" spans="1:1" hidden="1" x14ac:dyDescent="0.35">
      <c r="A110" t="str">
        <f>'1-Informations-paramètres '!D23</f>
        <v xml:space="preserve"> </v>
      </c>
    </row>
    <row r="111" spans="1:1" hidden="1" x14ac:dyDescent="0.35">
      <c r="A111" t="str">
        <f>'1-Informations-paramètres '!D24</f>
        <v xml:space="preserve"> </v>
      </c>
    </row>
    <row r="112" spans="1:1" hidden="1" x14ac:dyDescent="0.35">
      <c r="A112" t="str">
        <f>'1-Informations-paramètres '!D25</f>
        <v xml:space="preserve"> </v>
      </c>
    </row>
    <row r="113" spans="1:1" hidden="1" x14ac:dyDescent="0.35">
      <c r="A113" t="str">
        <f>'1-Informations-paramètres '!D26</f>
        <v xml:space="preserve"> </v>
      </c>
    </row>
    <row r="114" spans="1:1" hidden="1" x14ac:dyDescent="0.35">
      <c r="A114" t="str">
        <f>'1-Informations-paramètres '!D27</f>
        <v xml:space="preserve"> </v>
      </c>
    </row>
    <row r="115" spans="1:1" hidden="1" x14ac:dyDescent="0.35">
      <c r="A115" t="str">
        <f>'1-Informations-paramètres '!D28</f>
        <v xml:space="preserve"> </v>
      </c>
    </row>
    <row r="116" spans="1:1" hidden="1" x14ac:dyDescent="0.35">
      <c r="A116" t="str">
        <f>'1-Informations-paramètres '!D29</f>
        <v xml:space="preserve"> </v>
      </c>
    </row>
    <row r="117" spans="1:1" hidden="1" x14ac:dyDescent="0.35">
      <c r="A117" t="str">
        <f>'1-Informations-paramètres '!D30</f>
        <v xml:space="preserve"> </v>
      </c>
    </row>
    <row r="118" spans="1:1" hidden="1" x14ac:dyDescent="0.35">
      <c r="A118" t="str">
        <f>'1-Informations-paramètres '!D31</f>
        <v xml:space="preserve"> </v>
      </c>
    </row>
    <row r="119" spans="1:1" hidden="1" x14ac:dyDescent="0.35">
      <c r="A119" t="str">
        <f>'1-Informations-paramètres '!D32</f>
        <v xml:space="preserve"> </v>
      </c>
    </row>
    <row r="120" spans="1:1" hidden="1" x14ac:dyDescent="0.35">
      <c r="A120" t="str">
        <f>'1-Informations-paramètres '!D33</f>
        <v xml:space="preserve"> </v>
      </c>
    </row>
    <row r="121" spans="1:1" hidden="1" x14ac:dyDescent="0.35">
      <c r="A121" t="str">
        <f>'1-Informations-paramètres '!D34</f>
        <v xml:space="preserve"> </v>
      </c>
    </row>
    <row r="122" spans="1:1" hidden="1" x14ac:dyDescent="0.35">
      <c r="A122" t="str">
        <f>'1-Informations-paramètres '!D35</f>
        <v>Autres recettes réelles de fonctionnement</v>
      </c>
    </row>
    <row r="123" spans="1:1" hidden="1" x14ac:dyDescent="0.35">
      <c r="A123" s="444" t="str">
        <f>'1-Informations-paramètres '!B38</f>
        <v>Remboursement du capital la dette</v>
      </c>
    </row>
    <row r="124" spans="1:1" hidden="1" x14ac:dyDescent="0.35">
      <c r="A124" s="444" t="str">
        <f>'1-Informations-paramètres '!B39</f>
        <v xml:space="preserve"> </v>
      </c>
    </row>
    <row r="125" spans="1:1" hidden="1" x14ac:dyDescent="0.35">
      <c r="A125" s="444" t="str">
        <f>'1-Informations-paramètres '!B40</f>
        <v xml:space="preserve"> </v>
      </c>
    </row>
    <row r="126" spans="1:1" hidden="1" x14ac:dyDescent="0.35">
      <c r="A126" s="444" t="str">
        <f>'1-Informations-paramètres '!B41</f>
        <v xml:space="preserve"> </v>
      </c>
    </row>
    <row r="127" spans="1:1" hidden="1" x14ac:dyDescent="0.35">
      <c r="A127" s="444" t="str">
        <f>'1-Informations-paramètres '!B42</f>
        <v xml:space="preserve"> </v>
      </c>
    </row>
    <row r="128" spans="1:1" hidden="1" x14ac:dyDescent="0.35">
      <c r="A128" s="444" t="str">
        <f>'1-Informations-paramètres '!B43</f>
        <v xml:space="preserve"> </v>
      </c>
    </row>
    <row r="129" spans="1:1" hidden="1" x14ac:dyDescent="0.35">
      <c r="A129" s="444" t="str">
        <f>'1-Informations-paramètres '!B44</f>
        <v xml:space="preserve"> </v>
      </c>
    </row>
    <row r="130" spans="1:1" hidden="1" x14ac:dyDescent="0.35">
      <c r="A130" s="444" t="str">
        <f>'1-Informations-paramètres '!B45</f>
        <v xml:space="preserve"> </v>
      </c>
    </row>
    <row r="131" spans="1:1" hidden="1" x14ac:dyDescent="0.35">
      <c r="A131" s="444" t="str">
        <f>'1-Informations-paramètres '!B46</f>
        <v xml:space="preserve"> </v>
      </c>
    </row>
    <row r="132" spans="1:1" hidden="1" x14ac:dyDescent="0.35">
      <c r="A132" s="444" t="str">
        <f>'1-Informations-paramètres '!B47</f>
        <v>Autres dépenses d'investissement</v>
      </c>
    </row>
    <row r="133" spans="1:1" hidden="1" x14ac:dyDescent="0.35">
      <c r="A133" s="444"/>
    </row>
    <row r="134" spans="1:1" hidden="1" x14ac:dyDescent="0.35">
      <c r="A134" s="444"/>
    </row>
    <row r="135" spans="1:1" hidden="1" x14ac:dyDescent="0.35">
      <c r="A135" s="444" t="str">
        <f>'1-Informations-paramètres '!D38</f>
        <v>FCTVA</v>
      </c>
    </row>
    <row r="136" spans="1:1" hidden="1" x14ac:dyDescent="0.35">
      <c r="A136" s="444" t="str">
        <f>'1-Informations-paramètres '!D39</f>
        <v>Emprunts nouveaux</v>
      </c>
    </row>
    <row r="137" spans="1:1" hidden="1" x14ac:dyDescent="0.35">
      <c r="A137" s="444" t="str">
        <f>'1-Informations-paramètres '!D40</f>
        <v xml:space="preserve"> </v>
      </c>
    </row>
    <row r="138" spans="1:1" hidden="1" x14ac:dyDescent="0.35">
      <c r="A138" s="444" t="str">
        <f>'1-Informations-paramètres '!D41</f>
        <v xml:space="preserve"> </v>
      </c>
    </row>
    <row r="139" spans="1:1" hidden="1" x14ac:dyDescent="0.35">
      <c r="A139" s="444" t="str">
        <f>'1-Informations-paramètres '!D42</f>
        <v xml:space="preserve"> </v>
      </c>
    </row>
    <row r="140" spans="1:1" hidden="1" x14ac:dyDescent="0.35">
      <c r="A140" s="444" t="str">
        <f>'1-Informations-paramètres '!D43</f>
        <v xml:space="preserve"> </v>
      </c>
    </row>
    <row r="141" spans="1:1" hidden="1" x14ac:dyDescent="0.35">
      <c r="A141" s="444" t="str">
        <f>'1-Informations-paramètres '!D44</f>
        <v xml:space="preserve"> </v>
      </c>
    </row>
    <row r="142" spans="1:1" hidden="1" x14ac:dyDescent="0.35">
      <c r="A142" s="444" t="str">
        <f>'1-Informations-paramètres '!D45</f>
        <v xml:space="preserve"> </v>
      </c>
    </row>
    <row r="143" spans="1:1" hidden="1" x14ac:dyDescent="0.35">
      <c r="A143" s="444" t="str">
        <f>'1-Informations-paramètres '!D46</f>
        <v xml:space="preserve"> </v>
      </c>
    </row>
    <row r="144" spans="1:1" hidden="1" x14ac:dyDescent="0.35">
      <c r="A144" s="444" t="str">
        <f>'1-Informations-paramètres '!D47</f>
        <v>Autres recettes d'investissement</v>
      </c>
    </row>
    <row r="145" spans="1:1" x14ac:dyDescent="0.35">
      <c r="A145" s="444"/>
    </row>
    <row r="146" spans="1:1" x14ac:dyDescent="0.35">
      <c r="A146" s="444"/>
    </row>
    <row r="147" spans="1:1" x14ac:dyDescent="0.35">
      <c r="A147" s="444"/>
    </row>
    <row r="148" spans="1:1" x14ac:dyDescent="0.35">
      <c r="A148" s="444"/>
    </row>
    <row r="149" spans="1:1" x14ac:dyDescent="0.35">
      <c r="A149" s="444"/>
    </row>
    <row r="150" spans="1:1" x14ac:dyDescent="0.35">
      <c r="A150" s="444"/>
    </row>
    <row r="151" spans="1:1" x14ac:dyDescent="0.35">
      <c r="A151" s="444"/>
    </row>
  </sheetData>
  <sheetProtection algorithmName="SHA-512" hashValue="vMkCORbW84AdvYsQP/cUk+sw5zr7Gl3OzeuA0LC1WivHiqGTZFA+MsGHElpWXzGelRzL3tuA66RV/PbUFgSE4g==" saltValue="oCUAUKeRHYrkDLjycXzhsg==" spinCount="100000" sheet="1" objects="1" scenarios="1"/>
  <mergeCells count="9">
    <mergeCell ref="B51:D51"/>
    <mergeCell ref="B52:D52"/>
    <mergeCell ref="G51:I51"/>
    <mergeCell ref="G52:I52"/>
    <mergeCell ref="A1:J1"/>
    <mergeCell ref="A2:J2"/>
    <mergeCell ref="A49:J49"/>
    <mergeCell ref="A50:E50"/>
    <mergeCell ref="F50:J50"/>
  </mergeCells>
  <dataValidations count="1">
    <dataValidation type="list" allowBlank="1" showInputMessage="1" showErrorMessage="1" sqref="G51:G52 B51:B52" xr:uid="{12A64FA4-3300-4DF0-9B4B-93E281682687}">
      <formula1>$A$92:$A$144</formula1>
    </dataValidation>
  </dataValidations>
  <pageMargins left="0.25" right="0.25" top="0.75" bottom="0.75" header="0.3" footer="0.3"/>
  <pageSetup paperSize="9" scale="86" fitToHeight="0" orientation="portrait" r:id="rId1"/>
  <rowBreaks count="1" manualBreakCount="1">
    <brk id="48" max="9" man="1"/>
  </row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C0B5E27-F572-40F3-BDEE-B7EB404096CB}">
  <sheetPr>
    <pageSetUpPr fitToPage="1"/>
  </sheetPr>
  <dimension ref="A1:U57"/>
  <sheetViews>
    <sheetView zoomScale="70" zoomScaleNormal="70" workbookViewId="0">
      <selection activeCell="B7" sqref="B7"/>
    </sheetView>
  </sheetViews>
  <sheetFormatPr baseColWidth="10" defaultColWidth="11.453125" defaultRowHeight="16" x14ac:dyDescent="0.45"/>
  <cols>
    <col min="1" max="1" width="28" style="39" customWidth="1"/>
    <col min="2" max="2" width="25.1796875" style="39" customWidth="1"/>
    <col min="3" max="4" width="22.54296875" style="39" customWidth="1"/>
    <col min="5" max="5" width="19.7265625" style="39" customWidth="1"/>
    <col min="6" max="6" width="22.81640625" style="39" customWidth="1"/>
    <col min="7" max="7" width="28.453125" style="39" customWidth="1"/>
    <col min="8" max="8" width="19.54296875" style="39" customWidth="1"/>
    <col min="9" max="21" width="11.453125" style="39" hidden="1" customWidth="1"/>
    <col min="22" max="16384" width="11.453125" style="39"/>
  </cols>
  <sheetData>
    <row r="1" spans="1:21" ht="17.5" x14ac:dyDescent="0.45">
      <c r="A1" s="707" t="s">
        <v>171</v>
      </c>
      <c r="B1" s="707"/>
      <c r="C1" s="707"/>
      <c r="D1" s="707"/>
      <c r="E1" s="707"/>
      <c r="F1" s="707"/>
      <c r="G1" s="707"/>
      <c r="H1" s="707"/>
    </row>
    <row r="2" spans="1:21" ht="15" customHeight="1" x14ac:dyDescent="0.45">
      <c r="A2" s="710" t="str">
        <f>"Les montants ci-dessous sont exprimés " &amp; '1-Informations-paramètres '!C10 &amp;"(" &amp;'6-Synthèse'!B3 &amp;")"</f>
        <v>Les montants ci-dessous sont exprimés ()</v>
      </c>
      <c r="B2" s="710"/>
      <c r="C2" s="710"/>
      <c r="D2" s="710"/>
      <c r="E2" s="710"/>
      <c r="F2" s="710"/>
      <c r="G2" s="710"/>
      <c r="H2" s="710"/>
    </row>
    <row r="4" spans="1:21" ht="17.5" x14ac:dyDescent="0.45">
      <c r="A4" s="707" t="s">
        <v>195</v>
      </c>
      <c r="B4" s="707"/>
      <c r="C4" s="707"/>
      <c r="D4" s="707"/>
      <c r="E4" s="707"/>
      <c r="F4" s="707"/>
      <c r="G4" s="707"/>
      <c r="H4" s="707"/>
    </row>
    <row r="5" spans="1:21" x14ac:dyDescent="0.45">
      <c r="A5" s="712" t="str">
        <f>"Les montants ci-dessous sont exprimés " &amp; '1-Informations-paramètres '!C10 &amp;"(" &amp;'6-Synthèse'!B3 &amp;")"</f>
        <v>Les montants ci-dessous sont exprimés ()</v>
      </c>
      <c r="B5" s="712"/>
      <c r="C5" s="712"/>
      <c r="D5" s="712"/>
      <c r="E5" s="712"/>
      <c r="F5" s="712"/>
      <c r="G5" s="712"/>
      <c r="H5" s="712"/>
      <c r="I5" s="706" t="s">
        <v>198</v>
      </c>
      <c r="J5" s="706"/>
      <c r="K5" s="706"/>
      <c r="L5" s="706"/>
      <c r="M5" s="706"/>
      <c r="N5" s="706"/>
      <c r="O5" s="706"/>
      <c r="P5" s="706"/>
      <c r="Q5" s="706"/>
      <c r="R5" s="706"/>
      <c r="S5" s="706"/>
      <c r="T5" s="706"/>
      <c r="U5" s="706"/>
    </row>
    <row r="6" spans="1:21" ht="30.75" customHeight="1" x14ac:dyDescent="0.45">
      <c r="A6" s="434" t="s">
        <v>145</v>
      </c>
      <c r="B6" s="434" t="s">
        <v>146</v>
      </c>
      <c r="C6" s="434" t="s">
        <v>140</v>
      </c>
      <c r="D6" s="434" t="str">
        <f>"Montant estimé du risque au 31/12/"&amp;'2-Section de Fonctionnement'!F9</f>
        <v>Montant estimé du risque au 31/12/3</v>
      </c>
      <c r="E6" s="434" t="s">
        <v>149</v>
      </c>
      <c r="F6" s="434" t="s">
        <v>148</v>
      </c>
      <c r="G6" s="434" t="s">
        <v>180</v>
      </c>
      <c r="H6" s="428"/>
      <c r="I6" s="479" t="str">
        <f>A46</f>
        <v>Avant 0 ou non connu</v>
      </c>
      <c r="J6" s="479">
        <f>A47</f>
        <v>0</v>
      </c>
      <c r="K6" s="479">
        <f>J6+1</f>
        <v>1</v>
      </c>
      <c r="L6" s="479">
        <f t="shared" ref="L6:S6" si="0">K6+1</f>
        <v>2</v>
      </c>
      <c r="M6" s="479">
        <f t="shared" si="0"/>
        <v>3</v>
      </c>
      <c r="N6" s="479">
        <f t="shared" si="0"/>
        <v>4</v>
      </c>
      <c r="O6" s="479">
        <f t="shared" si="0"/>
        <v>5</v>
      </c>
      <c r="P6" s="479">
        <f t="shared" si="0"/>
        <v>6</v>
      </c>
      <c r="Q6" s="479">
        <f t="shared" si="0"/>
        <v>7</v>
      </c>
      <c r="R6" s="479">
        <f>Q6+1</f>
        <v>8</v>
      </c>
      <c r="S6" s="479">
        <f t="shared" si="0"/>
        <v>9</v>
      </c>
      <c r="U6" s="482" t="s">
        <v>162</v>
      </c>
    </row>
    <row r="7" spans="1:21" ht="15" customHeight="1" x14ac:dyDescent="0.45">
      <c r="A7" s="432" t="s">
        <v>107</v>
      </c>
      <c r="B7" s="429"/>
      <c r="C7" s="433"/>
      <c r="D7" s="431"/>
      <c r="E7" s="478"/>
      <c r="F7" s="430"/>
      <c r="G7" s="433"/>
      <c r="I7" s="480">
        <f>SUMIF(E7,$I$6,D7)</f>
        <v>0</v>
      </c>
      <c r="J7" s="480">
        <f>SUMIF(E7,$J$6,D7)</f>
        <v>0</v>
      </c>
      <c r="K7" s="480">
        <f>SUMIF(E7,$K$6,D7)</f>
        <v>0</v>
      </c>
      <c r="L7" s="480">
        <f>SUMIF(E7,$L$6,D7)</f>
        <v>0</v>
      </c>
      <c r="M7" s="480">
        <f>SUMIF(E7,$M$6,D7)</f>
        <v>0</v>
      </c>
      <c r="N7" s="480">
        <f>SUMIF(E7,$N$6,D7)-SUMIF(F7,$N$6,D7)</f>
        <v>0</v>
      </c>
      <c r="O7" s="480">
        <f>SUMIF(E7,$O$6,D7)-SUMIF(F7,$O$6,D7)</f>
        <v>0</v>
      </c>
      <c r="P7" s="480">
        <f>SUMIF(E7,$P$6,D7)-SUMIF(F7,$P$6,D7)</f>
        <v>0</v>
      </c>
      <c r="Q7" s="480">
        <f>SUMIF(E7,$Q$6,D7)-SUMIF(F7,$Q$6,D7)</f>
        <v>0</v>
      </c>
      <c r="R7" s="480">
        <f>SUMIF(E7,$R$6,D7)-SUMIF(F7,$R$6,D7)</f>
        <v>0</v>
      </c>
      <c r="S7" s="480">
        <f>SUMIF(E7,$S$6,D7)-SUMIF(F7,$S$6,D7)</f>
        <v>0</v>
      </c>
      <c r="U7" s="480">
        <f>SUMIF(G7,"Oui",D7)</f>
        <v>0</v>
      </c>
    </row>
    <row r="8" spans="1:21" ht="15" customHeight="1" x14ac:dyDescent="0.45">
      <c r="A8" s="432" t="s">
        <v>107</v>
      </c>
      <c r="B8" s="429"/>
      <c r="C8" s="433"/>
      <c r="D8" s="431"/>
      <c r="E8" s="478"/>
      <c r="F8" s="430"/>
      <c r="G8" s="433"/>
      <c r="I8" s="480">
        <f>SUMIF(E8,$I$6,D8)</f>
        <v>0</v>
      </c>
      <c r="J8" s="480">
        <f>SUMIF(E8,$J$6,D8)</f>
        <v>0</v>
      </c>
      <c r="K8" s="480">
        <f>SUMIF(E8,$K$6,D8)</f>
        <v>0</v>
      </c>
      <c r="L8" s="480">
        <f>SUMIF(E8,$L$6,D8)</f>
        <v>0</v>
      </c>
      <c r="M8" s="480">
        <f>SUMIF(E8,$M$6,D8)</f>
        <v>0</v>
      </c>
      <c r="N8" s="480">
        <f>SUMIF(E8,$N$6,D8)-SUMIF(F8,$N$6,D8)</f>
        <v>0</v>
      </c>
      <c r="O8" s="480">
        <f>SUMIF(E8,$O$6,D8)-SUMIF(F8,$O$6,D8)</f>
        <v>0</v>
      </c>
      <c r="P8" s="480">
        <f>SUMIF(E8,$P$6,D8)-SUMIF(F8,$P$6,D8)</f>
        <v>0</v>
      </c>
      <c r="Q8" s="480">
        <f>SUMIF(E8,$Q$6,D8)-SUMIF(F8,$Q$6,D8)</f>
        <v>0</v>
      </c>
      <c r="R8" s="480">
        <f>SUMIF(E8,$R$6,D8)-SUMIF(F8,$R$6,D8)</f>
        <v>0</v>
      </c>
      <c r="S8" s="480">
        <f>SUMIF(E8,$S$6,D8)-SUMIF(F8,$S$6,D8)</f>
        <v>0</v>
      </c>
      <c r="U8" s="480">
        <f>SUMIF(G8,"Oui",D8)</f>
        <v>0</v>
      </c>
    </row>
    <row r="9" spans="1:21" ht="15" customHeight="1" x14ac:dyDescent="0.45">
      <c r="A9" s="432" t="s">
        <v>107</v>
      </c>
      <c r="B9" s="429"/>
      <c r="C9" s="433"/>
      <c r="D9" s="431"/>
      <c r="E9" s="478"/>
      <c r="F9" s="430"/>
      <c r="G9" s="433"/>
      <c r="I9" s="480">
        <f>SUMIF(E9,$I$6,D9)</f>
        <v>0</v>
      </c>
      <c r="J9" s="480">
        <f>SUMIF(E9,$J$6,D9)</f>
        <v>0</v>
      </c>
      <c r="K9" s="480">
        <f>SUMIF(E9,$K$6,D9)</f>
        <v>0</v>
      </c>
      <c r="L9" s="480">
        <f>SUMIF(E9,$L$6,D9)</f>
        <v>0</v>
      </c>
      <c r="M9" s="480">
        <f>SUMIF(E9,$M$6,D9)</f>
        <v>0</v>
      </c>
      <c r="N9" s="480">
        <f>SUMIF(E9,$N$6,D9)-SUMIF(F9,$N$6,D9)</f>
        <v>0</v>
      </c>
      <c r="O9" s="480">
        <f>SUMIF(E9,$O$6,D9)-SUMIF(F9,$O$6,D9)</f>
        <v>0</v>
      </c>
      <c r="P9" s="480">
        <f>SUMIF(E9,$P$6,D9)-SUMIF(F9,$P$6,D9)</f>
        <v>0</v>
      </c>
      <c r="Q9" s="480">
        <f>SUMIF(E9,$Q$6,D9)-SUMIF(F9,$Q$6,D9)</f>
        <v>0</v>
      </c>
      <c r="R9" s="480">
        <f>SUMIF(E9,$R$6,D9)-SUMIF(F9,$R$6,D9)</f>
        <v>0</v>
      </c>
      <c r="S9" s="480">
        <f>SUMIF(E9,$S$6,D9)-SUMIF(F9,$S$6,D9)</f>
        <v>0</v>
      </c>
      <c r="U9" s="480">
        <f>SUMIF(G9,"Oui",D9)</f>
        <v>0</v>
      </c>
    </row>
    <row r="10" spans="1:21" ht="15" customHeight="1" x14ac:dyDescent="0.45">
      <c r="A10" s="432" t="s">
        <v>107</v>
      </c>
      <c r="B10" s="429"/>
      <c r="C10" s="433"/>
      <c r="D10" s="431"/>
      <c r="E10" s="478"/>
      <c r="F10" s="430"/>
      <c r="G10" s="433"/>
      <c r="I10" s="480">
        <f>SUMIF(E10,$I$6,D10)</f>
        <v>0</v>
      </c>
      <c r="J10" s="480">
        <f>SUMIF(E10,$J$6,D10)</f>
        <v>0</v>
      </c>
      <c r="K10" s="480">
        <f>SUMIF(E10,$K$6,D10)</f>
        <v>0</v>
      </c>
      <c r="L10" s="480">
        <f>SUMIF(E10,$L$6,D10)</f>
        <v>0</v>
      </c>
      <c r="M10" s="480">
        <f>SUMIF(E10,$M$6,D10)</f>
        <v>0</v>
      </c>
      <c r="N10" s="480">
        <f>SUMIF(E10,$N$6,D10)-SUMIF(F10,$N$6,D10)</f>
        <v>0</v>
      </c>
      <c r="O10" s="480">
        <f>SUMIF(E10,$O$6,D10)-SUMIF(F10,$O$6,D10)</f>
        <v>0</v>
      </c>
      <c r="P10" s="480">
        <f>SUMIF(E10,$P$6,D10)-SUMIF(F10,$P$6,D10)</f>
        <v>0</v>
      </c>
      <c r="Q10" s="480">
        <f>SUMIF(E10,$Q$6,D10)-SUMIF(F10,$Q$6,D10)</f>
        <v>0</v>
      </c>
      <c r="R10" s="480">
        <f>SUMIF(E10,$R$6,D10)-SUMIF(F10,$R$6,D10)</f>
        <v>0</v>
      </c>
      <c r="S10" s="480">
        <f>SUMIF(E10,$S$6,D10)-SUMIF(F10,$S$6,D10)</f>
        <v>0</v>
      </c>
      <c r="U10" s="480">
        <f>SUMIF(G10,"Oui",D10)</f>
        <v>0</v>
      </c>
    </row>
    <row r="11" spans="1:21" ht="15" customHeight="1" x14ac:dyDescent="0.45">
      <c r="A11" s="432" t="s">
        <v>107</v>
      </c>
      <c r="B11" s="429"/>
      <c r="C11" s="433"/>
      <c r="D11" s="431"/>
      <c r="E11" s="478"/>
      <c r="F11" s="430"/>
      <c r="G11" s="433"/>
      <c r="I11" s="480">
        <f>SUMIF(E11,$I$6,D11)</f>
        <v>0</v>
      </c>
      <c r="J11" s="480">
        <f>SUMIF(E11,$J$6,D11)</f>
        <v>0</v>
      </c>
      <c r="K11" s="480">
        <f>SUMIF(E11,$K$6,D11)</f>
        <v>0</v>
      </c>
      <c r="L11" s="480">
        <f>SUMIF(E11,$L$6,D11)</f>
        <v>0</v>
      </c>
      <c r="M11" s="480">
        <f>SUMIF(E11,$M$6,D11)</f>
        <v>0</v>
      </c>
      <c r="N11" s="480">
        <f>SUMIF(E11,$N$6,D11)-SUMIF(F11,$N$6,D11)</f>
        <v>0</v>
      </c>
      <c r="O11" s="480">
        <f>SUMIF(E11,$O$6,D11)-SUMIF(F11,$O$6,D11)</f>
        <v>0</v>
      </c>
      <c r="P11" s="480">
        <f>SUMIF(E11,$P$6,D11)-SUMIF(F11,$P$6,D11)</f>
        <v>0</v>
      </c>
      <c r="Q11" s="480">
        <f>SUMIF(E11,$Q$6,D11)-SUMIF(F11,$Q$6,D11)</f>
        <v>0</v>
      </c>
      <c r="R11" s="480">
        <f>SUMIF(E11,$R$6,D11)-SUMIF(F11,$R$6,D11)</f>
        <v>0</v>
      </c>
      <c r="S11" s="480">
        <f>SUMIF(E11,$S$6,D11)-SUMIF(F11,$S$6,D11)</f>
        <v>0</v>
      </c>
      <c r="U11" s="480">
        <f>SUMIF(G11,"Oui",D11)</f>
        <v>0</v>
      </c>
    </row>
    <row r="12" spans="1:21" x14ac:dyDescent="0.45">
      <c r="I12" s="481">
        <f>SUM(I7:I11)</f>
        <v>0</v>
      </c>
      <c r="J12" s="481">
        <f>I12+SUM(J7:J11)</f>
        <v>0</v>
      </c>
      <c r="K12" s="481">
        <f t="shared" ref="K12:S12" si="1">J12+SUM(K7:K11)</f>
        <v>0</v>
      </c>
      <c r="L12" s="481">
        <f t="shared" si="1"/>
        <v>0</v>
      </c>
      <c r="M12" s="481">
        <f t="shared" si="1"/>
        <v>0</v>
      </c>
      <c r="N12" s="481">
        <f t="shared" si="1"/>
        <v>0</v>
      </c>
      <c r="O12" s="481">
        <f t="shared" si="1"/>
        <v>0</v>
      </c>
      <c r="P12" s="481">
        <f t="shared" si="1"/>
        <v>0</v>
      </c>
      <c r="Q12" s="481">
        <f t="shared" si="1"/>
        <v>0</v>
      </c>
      <c r="R12" s="481">
        <f t="shared" si="1"/>
        <v>0</v>
      </c>
      <c r="S12" s="481">
        <f t="shared" si="1"/>
        <v>0</v>
      </c>
      <c r="U12" s="480">
        <f>SUM(U7:U11)</f>
        <v>0</v>
      </c>
    </row>
    <row r="13" spans="1:21" ht="17.5" x14ac:dyDescent="0.45">
      <c r="A13" s="707" t="s">
        <v>196</v>
      </c>
      <c r="B13" s="707"/>
      <c r="C13" s="707"/>
      <c r="D13" s="707"/>
      <c r="E13" s="707"/>
      <c r="F13" s="707"/>
      <c r="G13" s="707"/>
      <c r="H13" s="707"/>
    </row>
    <row r="14" spans="1:21" ht="15.75" customHeight="1" x14ac:dyDescent="0.45">
      <c r="A14" s="712" t="str">
        <f>"Les montants ci-dessous sont exprimés " &amp; '1-Informations-paramètres '!C10 &amp;"(" &amp;'6-Synthèse'!B3 &amp;")"</f>
        <v>Les montants ci-dessous sont exprimés ()</v>
      </c>
      <c r="B14" s="712"/>
      <c r="C14" s="712"/>
      <c r="D14" s="712"/>
      <c r="E14" s="712"/>
      <c r="F14" s="712"/>
      <c r="G14" s="712"/>
      <c r="H14" s="712"/>
    </row>
    <row r="15" spans="1:21" x14ac:dyDescent="0.45">
      <c r="A15" s="711" t="str">
        <f>"Montant annuel des dépenses de dotations aux amortissements sur l'année " &amp;'2-Section de Fonctionnement'!F9</f>
        <v>Montant annuel des dépenses de dotations aux amortissements sur l'année 3</v>
      </c>
      <c r="B15" s="711"/>
      <c r="C15" s="711"/>
      <c r="D15" s="431"/>
      <c r="E15" s="374" t="s">
        <v>187</v>
      </c>
    </row>
    <row r="16" spans="1:21" ht="6" customHeight="1" x14ac:dyDescent="0.45"/>
    <row r="17" spans="1:14" x14ac:dyDescent="0.45">
      <c r="A17" s="711" t="str">
        <f>"Montant annuel des reprises(amortissements) des subventions sur l'année " &amp;'2-Section de Fonctionnement'!F9</f>
        <v>Montant annuel des reprises(amortissements) des subventions sur l'année 3</v>
      </c>
      <c r="B17" s="711"/>
      <c r="C17" s="711"/>
      <c r="D17" s="430"/>
      <c r="E17" s="374" t="s">
        <v>186</v>
      </c>
    </row>
    <row r="18" spans="1:14" ht="6" customHeight="1" x14ac:dyDescent="0.45"/>
    <row r="19" spans="1:14" x14ac:dyDescent="0.45">
      <c r="A19" s="711" t="s">
        <v>188</v>
      </c>
      <c r="B19" s="711"/>
      <c r="C19" s="711"/>
      <c r="D19" s="459" t="str">
        <f>IFERROR((D15-D17)/'2-Section de Fonctionnement'!F49,"(Données à compléter)")</f>
        <v>(Données à compléter)</v>
      </c>
    </row>
    <row r="20" spans="1:14" ht="6" customHeight="1" x14ac:dyDescent="0.45">
      <c r="A20" s="424"/>
      <c r="B20" s="424"/>
      <c r="C20" s="424"/>
      <c r="D20" s="424"/>
    </row>
    <row r="21" spans="1:14" ht="29.25" customHeight="1" x14ac:dyDescent="0.45">
      <c r="A21" s="708" t="s">
        <v>173</v>
      </c>
      <c r="B21" s="708"/>
      <c r="C21" s="708"/>
      <c r="D21" s="454" t="s">
        <v>147</v>
      </c>
    </row>
    <row r="23" spans="1:14" ht="17.5" x14ac:dyDescent="0.45">
      <c r="A23" s="707" t="s">
        <v>197</v>
      </c>
      <c r="B23" s="707"/>
      <c r="C23" s="707"/>
      <c r="D23" s="707"/>
      <c r="E23" s="707"/>
      <c r="F23" s="707"/>
      <c r="G23" s="707"/>
      <c r="H23" s="707"/>
    </row>
    <row r="24" spans="1:14" ht="21" customHeight="1" x14ac:dyDescent="0.45">
      <c r="A24" s="709" t="str">
        <f>"Les montants ci-dessous sont exprimés " &amp; '1-Informations-paramètres '!C10 &amp;"(" &amp;'6-Synthèse'!B3 &amp;")"</f>
        <v>Les montants ci-dessous sont exprimés ()</v>
      </c>
      <c r="B24" s="709"/>
      <c r="C24" s="709"/>
      <c r="D24" s="709"/>
      <c r="E24" s="709"/>
      <c r="F24" s="709"/>
      <c r="G24" s="709"/>
      <c r="H24" s="709"/>
      <c r="I24" s="706" t="s">
        <v>199</v>
      </c>
      <c r="J24" s="706"/>
      <c r="K24" s="706"/>
      <c r="L24" s="706"/>
      <c r="M24" s="706"/>
      <c r="N24" s="706"/>
    </row>
    <row r="25" spans="1:14" ht="54.75" customHeight="1" x14ac:dyDescent="0.45">
      <c r="A25" s="435" t="s">
        <v>155</v>
      </c>
      <c r="B25" s="436" t="s">
        <v>161</v>
      </c>
      <c r="C25" s="436" t="s">
        <v>191</v>
      </c>
      <c r="D25" s="436" t="str">
        <f>"Le budget dispose-t-il d'une réserve financière importante (excédent cumulé) au 31/12/" &amp;'2-Section de Fonctionnement'!$F$9</f>
        <v>Le budget dispose-t-il d'une réserve financière importante (excédent cumulé) au 31/12/3</v>
      </c>
      <c r="E25" s="436" t="str">
        <f>"Encours de dette au 31/12/" &amp;'2-Section de Fonctionnement'!F9</f>
        <v>Encours de dette au 31/12/3</v>
      </c>
      <c r="F25" s="436" t="s">
        <v>189</v>
      </c>
      <c r="G25" s="436" t="str">
        <f>IF(F26=$D$35,"Quelle est l'estimation du déficit annuel moyen de ce budget ?",IF(F26=$D$36,"Quelle est l'estimation de l'excédent annuel moyen de ce budget ?",IF(F26=$D$37,"Quel sera le montant maximal estimé du déficit (pic) ?",IF(F26=$D$38,"Quel sera le montant maximal estimé de l'excédent (pic) ?", "Aucune donnée à saisir ci-dessous"))))</f>
        <v>Quel sera le montant maximal estimé du déficit (pic) ?</v>
      </c>
      <c r="H25" s="436" t="str">
        <f>IF(F26=$D$37,"En quelle année sera atteint ce déficit maximal ?",IF(F26=$D$38,"En quelle année sera atteint cet excédent maximal ?","Aucune donnée à saisir ci-dessous"))</f>
        <v>En quelle année sera atteint ce déficit maximal ?</v>
      </c>
      <c r="I25" s="480">
        <f t="shared" ref="I25:N25" si="2">N6</f>
        <v>4</v>
      </c>
      <c r="J25" s="480">
        <f t="shared" si="2"/>
        <v>5</v>
      </c>
      <c r="K25" s="480">
        <f t="shared" si="2"/>
        <v>6</v>
      </c>
      <c r="L25" s="480">
        <f t="shared" si="2"/>
        <v>7</v>
      </c>
      <c r="M25" s="480">
        <f t="shared" si="2"/>
        <v>8</v>
      </c>
      <c r="N25" s="480">
        <f t="shared" si="2"/>
        <v>9</v>
      </c>
    </row>
    <row r="26" spans="1:14" ht="29.5" customHeight="1" x14ac:dyDescent="0.45">
      <c r="A26" s="429" t="s">
        <v>178</v>
      </c>
      <c r="B26" s="429" t="s">
        <v>201</v>
      </c>
      <c r="C26" s="430" t="s">
        <v>152</v>
      </c>
      <c r="D26" s="430" t="s">
        <v>31</v>
      </c>
      <c r="E26" s="431">
        <v>70</v>
      </c>
      <c r="F26" s="429" t="s">
        <v>153</v>
      </c>
      <c r="G26" s="431">
        <v>50</v>
      </c>
      <c r="H26" s="430">
        <v>2029</v>
      </c>
      <c r="I26" s="480">
        <f t="shared" ref="I26:N26" si="3">IF($F$32=$D$35,-$G$32,0)+IF($F$32=$D$36,$G$32,0)+IF(I25=$H$32,IF($F$32=$D$37,-$G$32,IF($F$32=$D$38,$G$32,0)))+IF($F$29=$D$35,-$G$29,0)+IF($F$29=$D$36,$G$29,0)+IF(I25=$H$29,IF($F$29=$D$37,-$G$29,IF($F$29=$D$38,$G$29,0)))+IF($F$26=$D$35,-$G$26,0)+IF($F$26=$D$36,$G$26,0)+IF(I25=$H$26,IF($F$26=$D$37,-$G$26,IF($F$26=$D$38,$G$26,0)))</f>
        <v>0</v>
      </c>
      <c r="J26" s="480">
        <f t="shared" si="3"/>
        <v>0</v>
      </c>
      <c r="K26" s="480">
        <f t="shared" si="3"/>
        <v>0</v>
      </c>
      <c r="L26" s="480">
        <f t="shared" si="3"/>
        <v>0</v>
      </c>
      <c r="M26" s="480">
        <f t="shared" si="3"/>
        <v>0</v>
      </c>
      <c r="N26" s="480">
        <f t="shared" si="3"/>
        <v>0</v>
      </c>
    </row>
    <row r="27" spans="1:14" ht="11.25" customHeight="1" x14ac:dyDescent="0.45">
      <c r="I27" s="483" t="e">
        <f>I26/'4-Section d''Investissement'!G46</f>
        <v>#DIV/0!</v>
      </c>
      <c r="J27" s="483" t="e">
        <f>J26/'4-Section d''Investissement'!H46</f>
        <v>#DIV/0!</v>
      </c>
      <c r="K27" s="483" t="e">
        <f>K26/'4-Section d''Investissement'!I46</f>
        <v>#DIV/0!</v>
      </c>
      <c r="L27" s="483" t="e">
        <f>L26/'4-Section d''Investissement'!J46</f>
        <v>#DIV/0!</v>
      </c>
      <c r="M27" s="483" t="e">
        <f>M26/'4-Section d''Investissement'!K46</f>
        <v>#DIV/0!</v>
      </c>
      <c r="N27" s="483" t="e">
        <f>N26/'4-Section d''Investissement'!L46</f>
        <v>#DIV/0!</v>
      </c>
    </row>
    <row r="28" spans="1:14" ht="58.5" customHeight="1" x14ac:dyDescent="0.45">
      <c r="A28" s="450" t="s">
        <v>172</v>
      </c>
      <c r="B28" s="451" t="s">
        <v>161</v>
      </c>
      <c r="C28" s="451" t="s">
        <v>191</v>
      </c>
      <c r="D28" s="451" t="str">
        <f>"Le budget dispose-t-il d'une réserve financière importante (excédent cumulé) au 31/12/" &amp;'2-Section de Fonctionnement'!$F$9</f>
        <v>Le budget dispose-t-il d'une réserve financière importante (excédent cumulé) au 31/12/3</v>
      </c>
      <c r="E28" s="451" t="str">
        <f>"Encours de dette au 31/12/" &amp;'2-Section de Fonctionnement'!F9</f>
        <v>Encours de dette au 31/12/3</v>
      </c>
      <c r="F28" s="451" t="s">
        <v>190</v>
      </c>
      <c r="G28" s="451" t="str">
        <f>IF(F29=$D$35,"Quelle est l'estimation du déficit annuel moyen de ce budget ?",IF(F29=$D$36,"Quelle est l'estimation de l'excédent annuel moyen de ce budget ?",IF(F29=$D$37,"Quel sera le montant maximal estimé du déficit (pic) ?",IF(F29=$D$38,"Quel sera le montant maximal estimé de l'excédent (pic) ?", "Aucune donnée à saisir ci-dessous"))))</f>
        <v>Aucune donnée à saisir ci-dessous</v>
      </c>
      <c r="H28" s="451" t="str">
        <f>IF(F29=$D$37,"En quelle année sera atteint ce déficit maximal ?",IF(F29=$D$38,"En quelle année sera atteint cet excédent maximal ?","Aucune donnée à saisir ci-dessous"))</f>
        <v>Aucune donnée à saisir ci-dessous</v>
      </c>
      <c r="I28" s="480" t="e">
        <f>IF(I27&lt;-35%," Au 31/12/" &amp;I25 &amp;" ce risque sera à hauteur de "&amp;TEXT(I27,"0%") &amp;" du fonds de roulement/réserve du budget principal" &amp;"(soit un montant de " &amp;I26&amp;'6-Synthèse'!$B$3 &amp;").","")</f>
        <v>#DIV/0!</v>
      </c>
      <c r="J28" s="480" t="e">
        <f>IF(J27&lt;-35%," Au 31/12/" &amp;J25 &amp;" ce risque sera à hauteur de "&amp;TEXT(J27,"0%") &amp;" du fonds de roulement/réserve du budget principal" &amp;"(soit un montant de " &amp;J26&amp;'6-Synthèse'!$B$3 &amp;").","")</f>
        <v>#DIV/0!</v>
      </c>
      <c r="K28" s="480" t="e">
        <f>IF(K27&lt;-35%," Au 31/12/" &amp;K25 &amp;" ce risque sera à hauteur de "&amp;TEXT(K27,"0%") &amp;" du fonds de roulement/réserve du budget principal" &amp;"(soit un montant de " &amp;K26&amp;'6-Synthèse'!$B$3 &amp;").","")</f>
        <v>#DIV/0!</v>
      </c>
      <c r="L28" s="480" t="e">
        <f>IF(L27&lt;-35%," Au 31/12/" &amp;L25 &amp;" ce risque sera à hauteur de "&amp;TEXT(L27,"0%") &amp;" du fonds de roulement/réserve du budget principal" &amp;"(soit un montant de " &amp;L26&amp;'6-Synthèse'!$B$3 &amp;").","")</f>
        <v>#DIV/0!</v>
      </c>
      <c r="M28" s="480" t="e">
        <f>IF(M27&lt;-35%," Au 31/12/" &amp;M25 &amp;" ce risque sera à hauteur de "&amp;TEXT(M27,"0%") &amp;" du fonds de roulement/réserve du budget principal" &amp;"(soit un montant de " &amp;M26&amp;'6-Synthèse'!$B$3 &amp;").","")</f>
        <v>#DIV/0!</v>
      </c>
      <c r="N28" s="480" t="e">
        <f>IF(N27&lt;-35%," Au 31/12/" &amp;N25 &amp;" ce risque sera à hauteur de "&amp;TEXT(N27,"0%") &amp;" du fonds de roulement/réserve du budget principal" &amp;"(soit un montant de " &amp;N26&amp;'6-Synthèse'!$B$3 &amp;").","")</f>
        <v>#DIV/0!</v>
      </c>
    </row>
    <row r="29" spans="1:14" ht="25" customHeight="1" x14ac:dyDescent="0.45">
      <c r="A29" s="429" t="s">
        <v>107</v>
      </c>
      <c r="B29" s="429"/>
      <c r="C29" s="430"/>
      <c r="D29" s="430"/>
      <c r="E29" s="431"/>
      <c r="F29" s="429"/>
      <c r="G29" s="431"/>
      <c r="H29" s="430"/>
      <c r="I29" s="339"/>
    </row>
    <row r="30" spans="1:14" x14ac:dyDescent="0.45">
      <c r="I30" s="339"/>
    </row>
    <row r="31" spans="1:14" ht="54" customHeight="1" x14ac:dyDescent="0.45">
      <c r="A31" s="452" t="s">
        <v>172</v>
      </c>
      <c r="B31" s="453" t="s">
        <v>161</v>
      </c>
      <c r="C31" s="453" t="s">
        <v>191</v>
      </c>
      <c r="D31" s="453" t="str">
        <f>"Le budget dispose-t-il d'une réserve financière importante (excédent cumulé) au 31/12/" &amp;'2-Section de Fonctionnement'!$F$9</f>
        <v>Le budget dispose-t-il d'une réserve financière importante (excédent cumulé) au 31/12/3</v>
      </c>
      <c r="E31" s="453" t="str">
        <f>"Encours de dette au 31/12/" &amp;'2-Section de Fonctionnement'!F9</f>
        <v>Encours de dette au 31/12/3</v>
      </c>
      <c r="F31" s="453" t="s">
        <v>189</v>
      </c>
      <c r="G31" s="453" t="str">
        <f>IF(F32=$D$35,"Quelle est l'estimation du déficit annuel moyen de ce budget ?",IF(F32=$D$36,"Quelle est l'estimation de l'excédent annuel moyen de ce budget ?",IF(F32=$D$37,"Quel sera le montant maximal estimé du déficit (pic) ?",IF(F32=$D$38,"Quel sera le montant maximal estimé de l'excédent (pic) ?", "Aucune donnée à saisir ci-dessous"))))</f>
        <v>Aucune donnée à saisir ci-dessous</v>
      </c>
      <c r="H31" s="453" t="str">
        <f>IF(F32=$D$37,"En quelle année sera atteint ce déficit maximal ?",IF(F32=$D$38,"En quelle année sera atteint cet excédent maximal ?","Aucune donnée à saisir ci-dessous"))</f>
        <v>Aucune donnée à saisir ci-dessous</v>
      </c>
    </row>
    <row r="32" spans="1:14" ht="27.75" customHeight="1" x14ac:dyDescent="0.45">
      <c r="A32" s="429" t="s">
        <v>107</v>
      </c>
      <c r="B32" s="429"/>
      <c r="C32" s="430"/>
      <c r="D32" s="430"/>
      <c r="E32" s="431"/>
      <c r="F32" s="429"/>
      <c r="G32" s="431"/>
      <c r="H32" s="430"/>
      <c r="J32" s="39" t="s">
        <v>181</v>
      </c>
    </row>
    <row r="33" spans="1:6" ht="9" customHeight="1" x14ac:dyDescent="0.45"/>
    <row r="34" spans="1:6" hidden="1" x14ac:dyDescent="0.45">
      <c r="A34" s="39" t="str">
        <f>"A saisir"</f>
        <v>A saisir</v>
      </c>
      <c r="B34" s="39" t="str">
        <f>"A saisir"</f>
        <v>A saisir</v>
      </c>
      <c r="D34" s="39" t="s">
        <v>185</v>
      </c>
      <c r="F34" s="39" t="s">
        <v>30</v>
      </c>
    </row>
    <row r="35" spans="1:6" hidden="1" x14ac:dyDescent="0.45">
      <c r="A35" s="39" t="str" cm="1">
        <f t="array" ref="A35">IF('1-Informations-paramètres '!C54:C54="Oui", "Budget annexe 1","Aucun budget annexe à enjeux financiers")</f>
        <v>Aucun budget annexe à enjeux financiers</v>
      </c>
      <c r="B35" s="39" t="str" cm="1">
        <f t="array" ref="B35">IF('1-Informations-paramètres '!C55:C55="Oui", "Risque n°1","Aucun risque particulier identifié")</f>
        <v>Aucun risque particulier identifié</v>
      </c>
      <c r="D35" s="39" t="s">
        <v>160</v>
      </c>
      <c r="F35" s="39" t="s">
        <v>31</v>
      </c>
    </row>
    <row r="36" spans="1:6" hidden="1" x14ac:dyDescent="0.45">
      <c r="A36" s="39" t="str" cm="1">
        <f t="array" ref="A36">IF('1-Informations-paramètres '!C54:C54="Oui", "Budget annexe 2","Aucun budget annexe à enjeux financiers")</f>
        <v>Aucun budget annexe à enjeux financiers</v>
      </c>
      <c r="B36" s="39" t="str" cm="1">
        <f t="array" ref="B36">IF('1-Informations-paramètres '!C55:C55="Oui", "Risque n°2","Aucun risque particulier identifié")</f>
        <v>Aucun risque particulier identifié</v>
      </c>
      <c r="D36" s="39" t="s">
        <v>151</v>
      </c>
      <c r="F36" s="39" t="s">
        <v>147</v>
      </c>
    </row>
    <row r="37" spans="1:6" hidden="1" x14ac:dyDescent="0.45">
      <c r="A37" s="39" t="str" cm="1">
        <f t="array" ref="A37">IF('1-Informations-paramètres '!C54:C54="Oui", "Budget annexe 3","Aucun budget annexe à enjeux financiers")</f>
        <v>Aucun budget annexe à enjeux financiers</v>
      </c>
      <c r="B37" s="39" t="str" cm="1">
        <f t="array" ref="B37">IF('1-Informations-paramètres '!C55:C55="Oui", "Risque n°3","Aucun risque particulier identifié")</f>
        <v>Aucun risque particulier identifié</v>
      </c>
      <c r="D37" s="39" t="s">
        <v>153</v>
      </c>
    </row>
    <row r="38" spans="1:6" hidden="1" x14ac:dyDescent="0.45">
      <c r="B38" s="39" t="str" cm="1">
        <f t="array" ref="B38">IF('1-Informations-paramètres '!C55:C55="Oui", "Risque n°4","Aucun risque particulier identifié")</f>
        <v>Aucun risque particulier identifié</v>
      </c>
      <c r="D38" s="39" t="s">
        <v>154</v>
      </c>
    </row>
    <row r="39" spans="1:6" hidden="1" x14ac:dyDescent="0.45">
      <c r="B39" s="39" t="str" cm="1">
        <f t="array" ref="B39">IF('1-Informations-paramètres '!C55:C55="Oui", "Risque n°5","Aucun risque particulier identifié")</f>
        <v>Aucun risque particulier identifié</v>
      </c>
    </row>
    <row r="40" spans="1:6" ht="7.5" hidden="1" customHeight="1" x14ac:dyDescent="0.45"/>
    <row r="41" spans="1:6" hidden="1" x14ac:dyDescent="0.45">
      <c r="A41" s="39" t="s">
        <v>141</v>
      </c>
      <c r="B41" s="39" t="s">
        <v>156</v>
      </c>
      <c r="D41" s="39" t="str">
        <f>IF(D26="Oui",". Il dispose d'une réserve importante (excédent cumulé conséquent)","")</f>
        <v/>
      </c>
      <c r="E41" s="39" t="str">
        <f>IF(F26=D35,"est en déficit structurel non négligeable de l'ordre de " &amp;TEXT(G26,"# ##0") &amp;'6-Synthèse'!B3,IF(F26=D37,"générera un déficit important avec un pic d'environ " &amp;TEXT(G26,"# ##0") &amp;'6-Synthèse'!B3 &amp;" en " &amp;H26,IF(F26=D36,"est en excédent annuel non négligeable de l'ordre de " &amp;TEXT(G26,"# ##0") &amp;'6-Synthèse'!B3,IF(F26=D38,"généra prochainement un excédent important avec un pic d'environ " &amp;TEXT(G26,"# ##0") &amp;'6-Synthèse'!B3 &amp;" en " &amp;H26, "est en équilibre : ni déficit ni excédent"))))</f>
        <v>générera un déficit important avec un pic d'environ 50 en 2029</v>
      </c>
    </row>
    <row r="42" spans="1:6" hidden="1" x14ac:dyDescent="0.45">
      <c r="A42" s="39" t="s">
        <v>142</v>
      </c>
      <c r="B42" s="39" t="s">
        <v>152</v>
      </c>
      <c r="D42" s="39" t="str">
        <f>IF(D29="Oui",". Il dispose d'une réserve importante (excédent cumulé conséquent)","")</f>
        <v/>
      </c>
      <c r="E42" s="39" t="str">
        <f>IF(F29=D35,"est en déficit structurel non négligeable de l'ordre de  " &amp;TEXT(G29,"# ##0") &amp;'6-Synthèse'!B3,IF(F29=D37,"générera un déficit important avec un pic d'environ " &amp;TEXT(G29,"# ##0") &amp;'6-Synthèse'!B3 &amp;" en " &amp;H29,IF(F29=D36,"est un excédent annuel non négligeable de l'ordre de " &amp;TEXT(G29,"# ##0") &amp;'6-Synthèse'!B3,IF(F29=D38,"généra prochainement un excédent important avec un pic d'environ " &amp;TEXT(G29,"# ##0") &amp;'6-Synthèse'!B3 &amp;" en " &amp;H29, "est en équilibre : ni déficit ni excédent"))))</f>
        <v>est en équilibre : ni déficit ni excédent</v>
      </c>
    </row>
    <row r="43" spans="1:6" hidden="1" x14ac:dyDescent="0.45">
      <c r="A43" s="39" t="s">
        <v>143</v>
      </c>
      <c r="B43" s="39" t="s">
        <v>157</v>
      </c>
      <c r="D43" s="39" t="str">
        <f>IF(D32="Oui",". Il dispose d'une réserve importante (excédent cumulé conséquent)","")</f>
        <v/>
      </c>
      <c r="E43" s="39" t="str">
        <f>IF(F29=D35,"est en déficit structurel non négligeable de l'ordre de  " &amp;TEXT(G32,"# ##0") &amp;'6-Synthèse'!B3,IF(F32=D37,"générera un déficit important avec un pic d'environ " &amp;TEXT(G32,"# ##0") &amp;'6-Synthèse'!B3 &amp;" en " &amp;H32,IF(F32=D36,"est un excédent annuel non négligeable de l'ordre de " &amp;TEXT(G32,"# ##0") &amp;'6-Synthèse'!B3,IF(F32=D38,"généra prochainement un excédent important avec un pic d'environ " &amp;TEXT(G32,"# ##0") &amp;'6-Synthèse'!B3 &amp;" en " &amp;H32, "est en équilibre : ni déficit ni excédent"))))</f>
        <v>est en équilibre : ni déficit ni excédent</v>
      </c>
    </row>
    <row r="44" spans="1:6" hidden="1" x14ac:dyDescent="0.45">
      <c r="A44" s="39" t="s">
        <v>144</v>
      </c>
    </row>
    <row r="45" spans="1:6" ht="6" hidden="1" customHeight="1" x14ac:dyDescent="0.45"/>
    <row r="46" spans="1:6" hidden="1" x14ac:dyDescent="0.45">
      <c r="A46" s="39" t="str">
        <f>"Avant " &amp;A47 &amp;" ou non connu"</f>
        <v>Avant 0 ou non connu</v>
      </c>
    </row>
    <row r="47" spans="1:6" hidden="1" x14ac:dyDescent="0.45">
      <c r="A47" s="39" cm="1">
        <f t="array" ref="A47">'1-Informations-paramètres '!C8:C8</f>
        <v>0</v>
      </c>
    </row>
    <row r="48" spans="1:6" hidden="1" x14ac:dyDescent="0.45">
      <c r="A48" s="39">
        <f>A47+1</f>
        <v>1</v>
      </c>
    </row>
    <row r="49" spans="1:1" hidden="1" x14ac:dyDescent="0.45">
      <c r="A49" s="39">
        <f t="shared" ref="A49:A56" si="4">A48+1</f>
        <v>2</v>
      </c>
    </row>
    <row r="50" spans="1:1" hidden="1" x14ac:dyDescent="0.45">
      <c r="A50" s="39">
        <f t="shared" si="4"/>
        <v>3</v>
      </c>
    </row>
    <row r="51" spans="1:1" hidden="1" x14ac:dyDescent="0.45">
      <c r="A51" s="39">
        <f t="shared" si="4"/>
        <v>4</v>
      </c>
    </row>
    <row r="52" spans="1:1" hidden="1" x14ac:dyDescent="0.45">
      <c r="A52" s="39">
        <f t="shared" si="4"/>
        <v>5</v>
      </c>
    </row>
    <row r="53" spans="1:1" hidden="1" x14ac:dyDescent="0.45">
      <c r="A53" s="39">
        <f t="shared" si="4"/>
        <v>6</v>
      </c>
    </row>
    <row r="54" spans="1:1" hidden="1" x14ac:dyDescent="0.45">
      <c r="A54" s="39">
        <f t="shared" si="4"/>
        <v>7</v>
      </c>
    </row>
    <row r="55" spans="1:1" hidden="1" x14ac:dyDescent="0.45">
      <c r="A55" s="39">
        <f t="shared" si="4"/>
        <v>8</v>
      </c>
    </row>
    <row r="56" spans="1:1" hidden="1" x14ac:dyDescent="0.45">
      <c r="A56" s="39">
        <f t="shared" si="4"/>
        <v>9</v>
      </c>
    </row>
    <row r="57" spans="1:1" hidden="1" x14ac:dyDescent="0.45">
      <c r="A57" s="39" t="str">
        <f>"Après " &amp;A56 &amp;" ou non connu"</f>
        <v>Après 9 ou non connu</v>
      </c>
    </row>
  </sheetData>
  <sheetProtection algorithmName="SHA-512" hashValue="AGRrs/h+Uht+lmQpTwnp4IbgqHc8ZcxfnYHgdsep0jJkjypDogGcEPnqkT1MIUxiCRaKg+QPFRDPySFqxeTA6Q==" saltValue="8ncv/Wa6BcSLw80yRdqzRg==" spinCount="100000" sheet="1" objects="1" scenarios="1"/>
  <mergeCells count="14">
    <mergeCell ref="I5:U5"/>
    <mergeCell ref="I24:N24"/>
    <mergeCell ref="A1:H1"/>
    <mergeCell ref="A4:H4"/>
    <mergeCell ref="A21:C21"/>
    <mergeCell ref="A13:H13"/>
    <mergeCell ref="A24:H24"/>
    <mergeCell ref="A2:H2"/>
    <mergeCell ref="A23:H23"/>
    <mergeCell ref="A15:C15"/>
    <mergeCell ref="A17:C17"/>
    <mergeCell ref="A19:C19"/>
    <mergeCell ref="A14:H14"/>
    <mergeCell ref="A5:H5"/>
  </mergeCells>
  <dataValidations count="15">
    <dataValidation type="list" errorStyle="warning" allowBlank="1" showInputMessage="1" showErrorMessage="1" errorTitle="Saisie non conforme" error="Vous devez choisir une entrée parmis la liste déroulante (en cliquant sur la flêche à droite de la cellule)." sqref="A7:A11" xr:uid="{F41928BB-7144-42E7-A814-54DAA2538180}">
      <formula1>$B$34:$B$39</formula1>
    </dataValidation>
    <dataValidation type="list" errorStyle="warning" allowBlank="1" showInputMessage="1" showErrorMessage="1" errorTitle="Saisie non conforme" error="Vous devez choisir une entrée parmis la liste déroulante (en cliquant sur la flêche à droite de la cellule)." sqref="C7:C11" xr:uid="{B10DD3DC-1C1E-49A8-A3EA-0B984E38E45E}">
      <formula1>$A$41:$A$44</formula1>
    </dataValidation>
    <dataValidation type="list" errorStyle="warning" allowBlank="1" showInputMessage="1" showErrorMessage="1" errorTitle="Saisie non conforme" error="Vous devez choisir une entrée parmis la liste déroulante (en cliquant sur la flêche à droite de la cellule)." sqref="D26 D32 D29" xr:uid="{31703CDD-91CC-4AA8-A082-4C6829F638D6}">
      <formula1>$F$34:$F$36</formula1>
    </dataValidation>
    <dataValidation type="list" errorStyle="warning" allowBlank="1" showInputMessage="1" showErrorMessage="1" errorTitle="Saisie non conforme" error="Vous devez choisir une entrée parmis la liste déroulante (en cliquant sur la flêche à droite de la cellule)." sqref="E7:E11" xr:uid="{7880EE05-4ACA-4694-8BF1-14B247678137}">
      <formula1>$A$46:$A$56</formula1>
    </dataValidation>
    <dataValidation type="list" errorStyle="warning" allowBlank="1" showInputMessage="1" showErrorMessage="1" errorTitle="Saisie non conforme" error="Vous devez choisir une entrée parmis la liste déroulante (en cliquant sur la flêche à droite de la cellule)." sqref="F7:F11" xr:uid="{4F80AAF4-1DA2-4F61-A73A-18939873DF14}">
      <formula1>$A$51:$A$57</formula1>
    </dataValidation>
    <dataValidation type="list" errorStyle="warning" allowBlank="1" showInputMessage="1" showErrorMessage="1" errorTitle="Saisie non conforme" error="Vous devez choisir une entrée parmis la liste déroulante (en cliquant sur la flêche à droite de la cellule)." sqref="C26 C32 C29" xr:uid="{96A38A47-DC96-444C-B693-B4DB99CD173C}">
      <formula1>$B$41:$B$43</formula1>
    </dataValidation>
    <dataValidation type="list" errorStyle="warning" allowBlank="1" showInputMessage="1" showErrorMessage="1" errorTitle="Saisie non conforme" error="Merci de choisir parmis les trois entrées possibles : Oui ; Non ; Pas d'information" sqref="G7:G11 D21" xr:uid="{71E926C7-1CD5-403C-8527-5730E325FF43}">
      <formula1>$F$34:$F$36</formula1>
    </dataValidation>
    <dataValidation type="list" errorStyle="warning" allowBlank="1" showInputMessage="1" showErrorMessage="1" errorTitle="Saisie non conforme" error="Vous devez choisir une entrée parmis la liste déroulante (en cliquant sur la flêche à droite de la cellule)." sqref="A26 A32 A29" xr:uid="{EE3A6611-3321-4BC4-B0CB-DB6D53D09D70}">
      <formula1>$A$34:$A$37</formula1>
    </dataValidation>
    <dataValidation type="list" errorStyle="warning" allowBlank="1" showInputMessage="1" showErrorMessage="1" errorTitle="Saisie non conforme" error="Vous devez choisir une entrée parmis la liste déroulante (en cliquant sur la flêche à droite de la cellule)." sqref="F26 F32 F29" xr:uid="{DF489AB6-CC0D-4621-A5DF-0DD12FB20A90}">
      <formula1>$D$34:$D$38</formula1>
    </dataValidation>
    <dataValidation type="list" allowBlank="1" showInputMessage="1" showErrorMessage="1" sqref="V26" xr:uid="{613B24A6-5F26-40C0-BDE6-84525C91F592}">
      <formula1>IF(H26=2044,$A$54:$A$55,$A$47:$A$48)</formula1>
    </dataValidation>
    <dataValidation type="decimal" operator="greaterThan" allowBlank="1" showInputMessage="1" showErrorMessage="1" errorTitle="Erreur de saisie " error="Le montant à saisir doit être suppérieur à &quot;0&quot;" sqref="D7:D11" xr:uid="{6F71E815-2762-4378-883F-43A10FE55842}">
      <formula1>0</formula1>
    </dataValidation>
    <dataValidation allowBlank="1" showInputMessage="1" showErrorMessage="1" errorTitle="erreur de saisie" error="Qu'il s'agisse d'un excédent ou d'un déficit : le nombre saisi doit être suppérieur à &quot;0&quot; " sqref="G26 G29 G32" xr:uid="{0380D084-8C1D-4E4B-AD1E-4B14561DAD4A}"/>
    <dataValidation type="list" errorStyle="warning" allowBlank="1" showInputMessage="1" showErrorMessage="1" errorTitle="Saisie non conforme" error="Merci de saisir une année à partir de la liste déroulante." sqref="H32" xr:uid="{0A46C2A6-7E7A-4BB4-A1D1-D2BD85075BCA}">
      <formula1>IF(H$31="Aucune donnée à saisir ci-dessous",$V$26,$A$51:$A$57)</formula1>
    </dataValidation>
    <dataValidation type="list" errorStyle="warning" allowBlank="1" showInputMessage="1" showErrorMessage="1" errorTitle="Saisie non conforme" error="Merci de saisir une année à partir de la liste déroulante." sqref="H26" xr:uid="{7599B888-5BCC-48A5-8C4B-F34380F12CAA}">
      <formula1>IF(H$25="Aucune donnée à saisir ci-dessous",$V$26,$A$51:$A$57)</formula1>
    </dataValidation>
    <dataValidation type="list" errorStyle="warning" allowBlank="1" showInputMessage="1" showErrorMessage="1" errorTitle="Saisie non conforme" error="Merci de saisir une année à partir de la liste déroulante." sqref="H29" xr:uid="{0A8C0898-2B8E-4E59-91DC-B4ADFDFB147E}">
      <formula1>IF(H$28="Aucune donnée à saisir ci-dessous",$V$26,$A$51:$A$57)</formula1>
    </dataValidation>
  </dataValidations>
  <pageMargins left="0.25" right="0.25" top="0.75" bottom="0.75" header="0.3" footer="0.3"/>
  <pageSetup paperSize="8"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8</vt:i4>
      </vt:variant>
      <vt:variant>
        <vt:lpstr>Plages nommées</vt:lpstr>
      </vt:variant>
      <vt:variant>
        <vt:i4>7</vt:i4>
      </vt:variant>
    </vt:vector>
  </HeadingPairs>
  <TitlesOfParts>
    <vt:vector size="15" baseType="lpstr">
      <vt:lpstr>1-Informations-paramètres </vt:lpstr>
      <vt:lpstr>2-Section de Fonctionnement</vt:lpstr>
      <vt:lpstr>3-Variations du fonctionnement</vt:lpstr>
      <vt:lpstr>4-Section d'Investissement</vt:lpstr>
      <vt:lpstr>5-Recours à la dette </vt:lpstr>
      <vt:lpstr>6-Synthèse</vt:lpstr>
      <vt:lpstr>7-Graphiques</vt:lpstr>
      <vt:lpstr>8-Autres enjeux annexes</vt:lpstr>
      <vt:lpstr>Scénario_Evolution</vt:lpstr>
      <vt:lpstr>'1-Informations-paramètres '!Zone_d_impression</vt:lpstr>
      <vt:lpstr>'3-Variations du fonctionnement'!Zone_d_impression</vt:lpstr>
      <vt:lpstr>'5-Recours à la dette '!Zone_d_impression</vt:lpstr>
      <vt:lpstr>'6-Synthèse'!Zone_d_impression</vt:lpstr>
      <vt:lpstr>'7-Graphiques'!Zone_d_impression</vt:lpstr>
      <vt:lpstr>'8-Autres enjeux annexes'!Zone_d_impression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ElanRural_Johann Le Mons</dc:creator>
  <cp:keywords/>
  <dc:description/>
  <cp:lastModifiedBy>johann Le mons</cp:lastModifiedBy>
  <cp:revision/>
  <cp:lastPrinted>2026-04-20T22:31:35Z</cp:lastPrinted>
  <dcterms:created xsi:type="dcterms:W3CDTF">2024-09-15T15:19:15Z</dcterms:created>
  <dcterms:modified xsi:type="dcterms:W3CDTF">2026-04-21T10:33:15Z</dcterms:modified>
  <cp:category/>
  <cp:contentStatus/>
</cp:coreProperties>
</file>