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Johann\Documents\"/>
    </mc:Choice>
  </mc:AlternateContent>
  <xr:revisionPtr revIDLastSave="0" documentId="8_{19C0953E-20D6-4A00-9A70-CFD0FD269AA7}" xr6:coauthVersionLast="47" xr6:coauthVersionMax="47" xr10:uidLastSave="{00000000-0000-0000-0000-000000000000}"/>
  <workbookProtection workbookAlgorithmName="SHA-512" workbookHashValue="VWT6GVmu2bfsBhTXL2AoSRMYt6BUll1BdwHTSmJ1by+tZkTqEdEAnUmAQb0ofMZRCwSb8BrAosymKh4Qloookw==" workbookSaltValue="IMe7Oe7s5dg7wWmxXQLkJA==" workbookSpinCount="100000" lockStructure="1"/>
  <bookViews>
    <workbookView xWindow="-120" yWindow="-120" windowWidth="20730" windowHeight="11040" xr2:uid="{789A7446-DD5D-4324-B5D2-5BC5502F5765}"/>
  </bookViews>
  <sheets>
    <sheet name="1-Informations-paramètres " sheetId="1" r:id="rId1"/>
    <sheet name="2-Section de Fonctionnement" sheetId="2" r:id="rId2"/>
    <sheet name="3-Variations du fonctionnement" sheetId="3" r:id="rId3"/>
    <sheet name="4-Section d'Investissement" sheetId="7" r:id="rId4"/>
    <sheet name="5-Recours à la dette " sheetId="6" r:id="rId5"/>
    <sheet name="6-Synthèse" sheetId="4" r:id="rId6"/>
  </sheets>
  <definedNames>
    <definedName name="Liste_Combinee">union('1-Informations-paramètres '!$A$20,'1-Informations-paramètres '!$B$22:$B$34)</definedName>
    <definedName name="Scénario_Evolution">'3-Variations du fonctionnement'!$A$3:$H$13</definedName>
    <definedName name="_xlnm.Print_Area" localSheetId="0">'1-Informations-paramètres '!$A$1:$F$50</definedName>
    <definedName name="_xlnm.Print_Area" localSheetId="2">'3-Variations du fonctionnement'!$A$1:$P$37</definedName>
    <definedName name="_xlnm.Print_Area" localSheetId="4">'5-Recours à la dette '!$A$1:$K$45</definedName>
    <definedName name="_xlnm.Print_Area" localSheetId="5">'6-Synthèse'!$A$1:$D$53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0" i="7" l="1"/>
  <c r="K30" i="7"/>
  <c r="J30" i="7"/>
  <c r="I30" i="7"/>
  <c r="D54" i="1" l="1"/>
  <c r="D55" i="1"/>
  <c r="B3" i="4" l="1"/>
  <c r="B15" i="1"/>
  <c r="O41" i="2" l="1"/>
  <c r="O40" i="2"/>
  <c r="H41" i="2"/>
  <c r="I41" i="2" s="1"/>
  <c r="J41" i="2" s="1"/>
  <c r="K41" i="2" s="1"/>
  <c r="L41" i="2" s="1"/>
  <c r="M41" i="2" s="1"/>
  <c r="H40" i="2"/>
  <c r="I40" i="2" s="1"/>
  <c r="J40" i="2" s="1"/>
  <c r="K40" i="2" s="1"/>
  <c r="L40" i="2" s="1"/>
  <c r="M40" i="2" s="1"/>
  <c r="O23" i="2"/>
  <c r="O22" i="2"/>
  <c r="O21" i="2"/>
  <c r="O42" i="2"/>
  <c r="O39" i="2"/>
  <c r="A1" i="4"/>
  <c r="H43" i="2"/>
  <c r="I43" i="2" s="1"/>
  <c r="J43" i="2" s="1"/>
  <c r="K43" i="2" s="1"/>
  <c r="L43" i="2" s="1"/>
  <c r="M43" i="2" s="1"/>
  <c r="H42" i="2"/>
  <c r="I42" i="2" s="1"/>
  <c r="J42" i="2" s="1"/>
  <c r="K42" i="2" s="1"/>
  <c r="L42" i="2" s="1"/>
  <c r="M42" i="2" s="1"/>
  <c r="H39" i="2"/>
  <c r="I39" i="2" s="1"/>
  <c r="J39" i="2" s="1"/>
  <c r="K39" i="2" s="1"/>
  <c r="L39" i="2" s="1"/>
  <c r="M39" i="2" s="1"/>
  <c r="H38" i="2"/>
  <c r="I38" i="2" s="1"/>
  <c r="J38" i="2" s="1"/>
  <c r="K38" i="2" s="1"/>
  <c r="L38" i="2" s="1"/>
  <c r="M38" i="2" s="1"/>
  <c r="H37" i="2"/>
  <c r="I37" i="2" s="1"/>
  <c r="J37" i="2" s="1"/>
  <c r="K37" i="2" s="1"/>
  <c r="L37" i="2" s="1"/>
  <c r="M37" i="2" s="1"/>
  <c r="H36" i="2"/>
  <c r="I36" i="2" s="1"/>
  <c r="J36" i="2" s="1"/>
  <c r="K36" i="2" s="1"/>
  <c r="L36" i="2" s="1"/>
  <c r="M36" i="2" s="1"/>
  <c r="H35" i="2"/>
  <c r="I35" i="2" s="1"/>
  <c r="J35" i="2" s="1"/>
  <c r="K35" i="2" s="1"/>
  <c r="L35" i="2" s="1"/>
  <c r="M35" i="2" s="1"/>
  <c r="H34" i="2"/>
  <c r="I34" i="2" s="1"/>
  <c r="J34" i="2" s="1"/>
  <c r="K34" i="2" s="1"/>
  <c r="L34" i="2" s="1"/>
  <c r="M34" i="2" s="1"/>
  <c r="H33" i="2"/>
  <c r="I33" i="2" s="1"/>
  <c r="J33" i="2" s="1"/>
  <c r="K33" i="2" s="1"/>
  <c r="L33" i="2" s="1"/>
  <c r="M33" i="2" s="1"/>
  <c r="H32" i="2"/>
  <c r="I32" i="2" s="1"/>
  <c r="J32" i="2" s="1"/>
  <c r="K32" i="2" s="1"/>
  <c r="L32" i="2" s="1"/>
  <c r="M32" i="2" s="1"/>
  <c r="H31" i="2"/>
  <c r="I31" i="2" s="1"/>
  <c r="J31" i="2" s="1"/>
  <c r="K31" i="2" s="1"/>
  <c r="L31" i="2" s="1"/>
  <c r="M31" i="2" s="1"/>
  <c r="H30" i="2"/>
  <c r="I30" i="2" s="1"/>
  <c r="J30" i="2" s="1"/>
  <c r="K30" i="2" s="1"/>
  <c r="L30" i="2" s="1"/>
  <c r="M30" i="2" s="1"/>
  <c r="H25" i="2"/>
  <c r="I25" i="2" s="1"/>
  <c r="J25" i="2" s="1"/>
  <c r="K25" i="2" s="1"/>
  <c r="L25" i="2" s="1"/>
  <c r="M25" i="2" s="1"/>
  <c r="H24" i="2"/>
  <c r="I24" i="2" s="1"/>
  <c r="J24" i="2" s="1"/>
  <c r="K24" i="2" s="1"/>
  <c r="L24" i="2" s="1"/>
  <c r="M24" i="2" s="1"/>
  <c r="H23" i="2"/>
  <c r="I23" i="2" s="1"/>
  <c r="J23" i="2" s="1"/>
  <c r="K23" i="2" s="1"/>
  <c r="L23" i="2" s="1"/>
  <c r="M23" i="2" s="1"/>
  <c r="H22" i="2"/>
  <c r="I22" i="2" s="1"/>
  <c r="J22" i="2" s="1"/>
  <c r="K22" i="2" s="1"/>
  <c r="L22" i="2" s="1"/>
  <c r="M22" i="2" s="1"/>
  <c r="H21" i="2"/>
  <c r="I21" i="2" s="1"/>
  <c r="J21" i="2" s="1"/>
  <c r="K21" i="2" s="1"/>
  <c r="L21" i="2" s="1"/>
  <c r="M21" i="2" s="1"/>
  <c r="H20" i="2"/>
  <c r="I20" i="2" s="1"/>
  <c r="J20" i="2" s="1"/>
  <c r="K20" i="2" s="1"/>
  <c r="L20" i="2" s="1"/>
  <c r="M20" i="2" s="1"/>
  <c r="H19" i="2"/>
  <c r="I19" i="2" s="1"/>
  <c r="J19" i="2" s="1"/>
  <c r="K19" i="2" s="1"/>
  <c r="L19" i="2" s="1"/>
  <c r="M19" i="2" s="1"/>
  <c r="H18" i="2"/>
  <c r="I18" i="2" s="1"/>
  <c r="J18" i="2" s="1"/>
  <c r="K18" i="2" s="1"/>
  <c r="L18" i="2" s="1"/>
  <c r="M18" i="2" s="1"/>
  <c r="H17" i="2"/>
  <c r="I17" i="2" s="1"/>
  <c r="J17" i="2" s="1"/>
  <c r="K17" i="2" s="1"/>
  <c r="L17" i="2" s="1"/>
  <c r="M17" i="2" s="1"/>
  <c r="H16" i="2"/>
  <c r="I16" i="2" s="1"/>
  <c r="J16" i="2" s="1"/>
  <c r="K16" i="2" s="1"/>
  <c r="L16" i="2" s="1"/>
  <c r="M16" i="2" s="1"/>
  <c r="H15" i="2"/>
  <c r="I15" i="2" s="1"/>
  <c r="J15" i="2" s="1"/>
  <c r="K15" i="2" s="1"/>
  <c r="L15" i="2" s="1"/>
  <c r="M15" i="2" s="1"/>
  <c r="H14" i="2"/>
  <c r="I14" i="2" s="1"/>
  <c r="J14" i="2" s="1"/>
  <c r="K14" i="2" s="1"/>
  <c r="L14" i="2" s="1"/>
  <c r="M14" i="2" s="1"/>
  <c r="H13" i="2"/>
  <c r="I13" i="2" s="1"/>
  <c r="J13" i="2" s="1"/>
  <c r="H11" i="2"/>
  <c r="I11" i="2" s="1"/>
  <c r="J11" i="2" s="1"/>
  <c r="K11" i="2" s="1"/>
  <c r="L11" i="2" s="1"/>
  <c r="M11" i="2" s="1"/>
  <c r="F49" i="1"/>
  <c r="A32" i="4"/>
  <c r="A33" i="4" l="1"/>
  <c r="A23" i="4" l="1"/>
  <c r="A15" i="4"/>
  <c r="B56" i="7"/>
  <c r="A6" i="4" l="1"/>
  <c r="A29" i="4"/>
  <c r="B29" i="4"/>
  <c r="P44" i="7"/>
  <c r="E40" i="6"/>
  <c r="D40" i="6"/>
  <c r="C40" i="6"/>
  <c r="B40" i="6"/>
  <c r="D65" i="1"/>
  <c r="D64" i="1"/>
  <c r="D61" i="1"/>
  <c r="D62" i="1"/>
  <c r="D63" i="1"/>
  <c r="D56" i="1" l="1"/>
  <c r="D57" i="1"/>
  <c r="D58" i="1"/>
  <c r="D59" i="1"/>
  <c r="D60" i="1"/>
  <c r="D53" i="1"/>
  <c r="D52" i="1"/>
  <c r="E7" i="6"/>
  <c r="D7" i="6"/>
  <c r="C7" i="6"/>
  <c r="B7" i="6"/>
  <c r="E6" i="6"/>
  <c r="D6" i="6"/>
  <c r="C6" i="6"/>
  <c r="B6" i="6"/>
  <c r="K37" i="3"/>
  <c r="K36" i="3"/>
  <c r="K35" i="3"/>
  <c r="K34" i="3"/>
  <c r="K33" i="3"/>
  <c r="K32" i="3"/>
  <c r="K31" i="3"/>
  <c r="K30" i="3"/>
  <c r="K29" i="3"/>
  <c r="K28" i="3"/>
  <c r="K26" i="3"/>
  <c r="K25" i="3"/>
  <c r="K24" i="3"/>
  <c r="K23" i="3"/>
  <c r="K22" i="3"/>
  <c r="K21" i="3"/>
  <c r="K20" i="3"/>
  <c r="K19" i="3"/>
  <c r="K18" i="3"/>
  <c r="L37" i="3"/>
  <c r="M37" i="3" s="1"/>
  <c r="N37" i="3" s="1"/>
  <c r="O37" i="3" s="1"/>
  <c r="P37" i="3" s="1"/>
  <c r="L36" i="3"/>
  <c r="M36" i="3" s="1"/>
  <c r="N36" i="3" s="1"/>
  <c r="O36" i="3" s="1"/>
  <c r="P36" i="3" s="1"/>
  <c r="L35" i="3"/>
  <c r="M35" i="3" s="1"/>
  <c r="N35" i="3" s="1"/>
  <c r="O35" i="3" s="1"/>
  <c r="P35" i="3" s="1"/>
  <c r="L34" i="3"/>
  <c r="M34" i="3" s="1"/>
  <c r="N34" i="3" s="1"/>
  <c r="O34" i="3" s="1"/>
  <c r="P34" i="3" s="1"/>
  <c r="L33" i="3"/>
  <c r="M33" i="3" s="1"/>
  <c r="N33" i="3" s="1"/>
  <c r="O33" i="3" s="1"/>
  <c r="P33" i="3" s="1"/>
  <c r="L32" i="3"/>
  <c r="M32" i="3" s="1"/>
  <c r="N32" i="3" s="1"/>
  <c r="O32" i="3" s="1"/>
  <c r="P32" i="3" s="1"/>
  <c r="L31" i="3"/>
  <c r="M31" i="3" s="1"/>
  <c r="N31" i="3" s="1"/>
  <c r="O31" i="3" s="1"/>
  <c r="P31" i="3" s="1"/>
  <c r="L30" i="3"/>
  <c r="M30" i="3" s="1"/>
  <c r="N30" i="3" s="1"/>
  <c r="O30" i="3" s="1"/>
  <c r="P30" i="3" s="1"/>
  <c r="L29" i="3"/>
  <c r="M29" i="3" s="1"/>
  <c r="N29" i="3" s="1"/>
  <c r="O29" i="3" s="1"/>
  <c r="P29" i="3" s="1"/>
  <c r="L28" i="3"/>
  <c r="M28" i="3" s="1"/>
  <c r="N28" i="3" s="1"/>
  <c r="O28" i="3" s="1"/>
  <c r="P28" i="3" s="1"/>
  <c r="L26" i="3"/>
  <c r="M26" i="3" s="1"/>
  <c r="N26" i="3" s="1"/>
  <c r="O26" i="3" s="1"/>
  <c r="P26" i="3" s="1"/>
  <c r="L25" i="3"/>
  <c r="M25" i="3" s="1"/>
  <c r="N25" i="3" s="1"/>
  <c r="O25" i="3" s="1"/>
  <c r="P25" i="3" s="1"/>
  <c r="L24" i="3"/>
  <c r="M24" i="3" s="1"/>
  <c r="N24" i="3" s="1"/>
  <c r="O24" i="3" s="1"/>
  <c r="P24" i="3" s="1"/>
  <c r="L23" i="3"/>
  <c r="M23" i="3" s="1"/>
  <c r="N23" i="3" s="1"/>
  <c r="O23" i="3" s="1"/>
  <c r="P23" i="3" s="1"/>
  <c r="L22" i="3"/>
  <c r="M22" i="3" s="1"/>
  <c r="N22" i="3" s="1"/>
  <c r="O22" i="3" s="1"/>
  <c r="P22" i="3" s="1"/>
  <c r="L21" i="3"/>
  <c r="M21" i="3" s="1"/>
  <c r="N21" i="3" s="1"/>
  <c r="O21" i="3" s="1"/>
  <c r="P21" i="3" s="1"/>
  <c r="L20" i="3"/>
  <c r="M20" i="3" s="1"/>
  <c r="N20" i="3" s="1"/>
  <c r="O20" i="3" s="1"/>
  <c r="P20" i="3" s="1"/>
  <c r="L19" i="3"/>
  <c r="M19" i="3" s="1"/>
  <c r="N19" i="3" s="1"/>
  <c r="O19" i="3" s="1"/>
  <c r="P19" i="3" s="1"/>
  <c r="L18" i="3"/>
  <c r="M18" i="3" s="1"/>
  <c r="N18" i="3" s="1"/>
  <c r="O18" i="3" s="1"/>
  <c r="P18" i="3" s="1"/>
  <c r="K17" i="3"/>
  <c r="L17" i="3" s="1"/>
  <c r="M17" i="3" s="1"/>
  <c r="N17" i="3" s="1"/>
  <c r="O17" i="3" s="1"/>
  <c r="P17" i="3" s="1"/>
  <c r="A3" i="4"/>
  <c r="O43" i="2"/>
  <c r="O38" i="2"/>
  <c r="O37" i="2"/>
  <c r="O36" i="2"/>
  <c r="O35" i="2"/>
  <c r="O34" i="2"/>
  <c r="O33" i="2"/>
  <c r="O32" i="2"/>
  <c r="O31" i="2"/>
  <c r="O29" i="2"/>
  <c r="O25" i="2"/>
  <c r="O24" i="2"/>
  <c r="O20" i="2"/>
  <c r="O19" i="2"/>
  <c r="O18" i="2"/>
  <c r="O17" i="2"/>
  <c r="O16" i="2"/>
  <c r="O15" i="2"/>
  <c r="O14" i="2"/>
  <c r="O13" i="2"/>
  <c r="O11" i="2"/>
  <c r="O10" i="2"/>
  <c r="A46" i="4"/>
  <c r="Q46" i="2"/>
  <c r="Q28" i="2"/>
  <c r="Q9" i="2"/>
  <c r="B55" i="1"/>
  <c r="B56" i="1" s="1"/>
  <c r="B57" i="1" s="1"/>
  <c r="B58" i="1" s="1"/>
  <c r="B59" i="1" s="1"/>
  <c r="B60" i="1" s="1"/>
  <c r="B61" i="1" s="1"/>
  <c r="B62" i="1" s="1"/>
  <c r="B63" i="1" s="1"/>
  <c r="B64" i="1" s="1"/>
  <c r="A16" i="3"/>
  <c r="A27" i="3"/>
  <c r="A2" i="3"/>
  <c r="F8" i="1"/>
  <c r="F36" i="6"/>
  <c r="K43" i="6"/>
  <c r="K41" i="6"/>
  <c r="A2" i="6"/>
  <c r="E53" i="7"/>
  <c r="G53" i="7"/>
  <c r="H53" i="7" s="1"/>
  <c r="I53" i="7" s="1"/>
  <c r="J53" i="7" s="1"/>
  <c r="K53" i="7" s="1"/>
  <c r="N53" i="7" l="1"/>
  <c r="B43" i="6"/>
  <c r="B35" i="6"/>
  <c r="C43" i="6"/>
  <c r="C35" i="6"/>
  <c r="D43" i="6"/>
  <c r="D35" i="6"/>
  <c r="E43" i="6"/>
  <c r="E35" i="6"/>
  <c r="L53" i="7"/>
  <c r="B41" i="6"/>
  <c r="B33" i="6"/>
  <c r="C41" i="6"/>
  <c r="C33" i="6"/>
  <c r="D41" i="6"/>
  <c r="D33" i="6"/>
  <c r="E41" i="6"/>
  <c r="E33" i="6"/>
  <c r="C10" i="7"/>
  <c r="C29" i="7" s="1"/>
  <c r="C47" i="7" s="1"/>
  <c r="E10" i="7"/>
  <c r="E29" i="7" s="1"/>
  <c r="E47" i="7" s="1"/>
  <c r="D10" i="7"/>
  <c r="D29" i="7" s="1"/>
  <c r="D47" i="7" s="1"/>
  <c r="B46" i="7"/>
  <c r="I29" i="3" l="1"/>
  <c r="I30" i="3"/>
  <c r="I31" i="3"/>
  <c r="I32" i="3"/>
  <c r="I33" i="3"/>
  <c r="I34" i="3"/>
  <c r="I35" i="3"/>
  <c r="I36" i="3"/>
  <c r="I37" i="3"/>
  <c r="I28" i="3"/>
  <c r="I18" i="3"/>
  <c r="I19" i="3"/>
  <c r="I20" i="3"/>
  <c r="I21" i="3"/>
  <c r="I22" i="3"/>
  <c r="I23" i="3"/>
  <c r="I24" i="3"/>
  <c r="I25" i="3"/>
  <c r="I26" i="3"/>
  <c r="I17" i="3"/>
  <c r="I16" i="3" s="1"/>
  <c r="A2" i="7"/>
  <c r="A2" i="2"/>
  <c r="B13" i="1"/>
  <c r="M26" i="7"/>
  <c r="J43" i="6"/>
  <c r="J41" i="6"/>
  <c r="E39" i="7"/>
  <c r="D39" i="7"/>
  <c r="C39" i="7"/>
  <c r="N26" i="7"/>
  <c r="I27" i="3" l="1"/>
  <c r="O30" i="2"/>
  <c r="C9" i="2" l="1"/>
  <c r="G43" i="6"/>
  <c r="B5" i="6"/>
  <c r="B32" i="6" s="1"/>
  <c r="B10" i="7"/>
  <c r="K13" i="2" l="1"/>
  <c r="L13" i="2" s="1"/>
  <c r="M13" i="2" s="1"/>
  <c r="B39" i="6"/>
  <c r="C39" i="6" s="1"/>
  <c r="D39" i="6" s="1"/>
  <c r="E39" i="6" s="1"/>
  <c r="C32" i="6"/>
  <c r="D32" i="6" s="1"/>
  <c r="E32" i="6" s="1"/>
  <c r="B29" i="7"/>
  <c r="F43" i="6"/>
  <c r="I41" i="6"/>
  <c r="H41" i="6"/>
  <c r="G41" i="6"/>
  <c r="F41" i="6"/>
  <c r="I43" i="6"/>
  <c r="H43" i="6"/>
  <c r="B47" i="7" l="1"/>
  <c r="B39" i="7"/>
  <c r="C48" i="7"/>
  <c r="D48" i="7"/>
  <c r="E48" i="7"/>
  <c r="B48" i="7"/>
  <c r="F34" i="6"/>
  <c r="F35" i="6"/>
  <c r="F33" i="6"/>
  <c r="F49" i="6" s="1"/>
  <c r="B49" i="7" l="1"/>
  <c r="G16" i="7"/>
  <c r="F50" i="6"/>
  <c r="H12" i="2" s="1"/>
  <c r="G15" i="7" l="1"/>
  <c r="C46" i="7"/>
  <c r="C49" i="7" s="1"/>
  <c r="B50" i="7"/>
  <c r="D46" i="7" l="1"/>
  <c r="D49" i="7" s="1"/>
  <c r="E46" i="7" s="1"/>
  <c r="C50" i="7"/>
  <c r="C25" i="7"/>
  <c r="D25" i="7"/>
  <c r="G30" i="7" s="1"/>
  <c r="E25" i="7"/>
  <c r="H30" i="7" s="1"/>
  <c r="H29" i="7" s="1"/>
  <c r="F47" i="2"/>
  <c r="F48" i="2" s="1"/>
  <c r="E47" i="2"/>
  <c r="D47" i="2"/>
  <c r="C47" i="2"/>
  <c r="C49" i="2" s="1"/>
  <c r="C50" i="2" s="1"/>
  <c r="F44" i="2"/>
  <c r="E44" i="2"/>
  <c r="D44" i="2"/>
  <c r="C44" i="2"/>
  <c r="F26" i="2"/>
  <c r="E26" i="2"/>
  <c r="D26" i="2"/>
  <c r="G29" i="7" l="1"/>
  <c r="D48" i="2"/>
  <c r="D51" i="2" s="1"/>
  <c r="E48" i="2"/>
  <c r="E51" i="2" s="1"/>
  <c r="C48" i="2"/>
  <c r="C51" i="2" s="1"/>
  <c r="A18" i="4"/>
  <c r="H44" i="2"/>
  <c r="I44" i="2" s="1"/>
  <c r="J44" i="2" s="1"/>
  <c r="K44" i="2" s="1"/>
  <c r="L44" i="2" s="1"/>
  <c r="M44" i="2" s="1"/>
  <c r="A16" i="4"/>
  <c r="H26" i="2"/>
  <c r="I26" i="2" s="1"/>
  <c r="J26" i="2" s="1"/>
  <c r="K26" i="2" s="1"/>
  <c r="L26" i="2" s="1"/>
  <c r="M26" i="2" s="1"/>
  <c r="E49" i="7"/>
  <c r="A25" i="4" s="1"/>
  <c r="N46" i="7"/>
  <c r="E49" i="2"/>
  <c r="E50" i="2" s="1"/>
  <c r="O44" i="2"/>
  <c r="A19" i="4" s="1"/>
  <c r="O47" i="2"/>
  <c r="D49" i="2"/>
  <c r="D50" i="2" s="1"/>
  <c r="F51" i="2"/>
  <c r="A14" i="4" s="1"/>
  <c r="F49" i="2"/>
  <c r="D50" i="7"/>
  <c r="H29" i="2"/>
  <c r="F32" i="6"/>
  <c r="G32" i="6" s="1"/>
  <c r="H32" i="6" s="1"/>
  <c r="I32" i="6" s="1"/>
  <c r="J32" i="6" s="1"/>
  <c r="K32" i="6" s="1"/>
  <c r="F39" i="6"/>
  <c r="C5" i="6"/>
  <c r="D5" i="6" s="1"/>
  <c r="E5" i="6" s="1"/>
  <c r="F50" i="2" l="1"/>
  <c r="A12" i="4"/>
  <c r="O48" i="2"/>
  <c r="A13" i="4"/>
  <c r="A11" i="4"/>
  <c r="N49" i="7"/>
  <c r="G46" i="7"/>
  <c r="F11" i="6" s="1"/>
  <c r="E50" i="7"/>
  <c r="N50" i="7" s="1"/>
  <c r="G39" i="6"/>
  <c r="H39" i="6" s="1"/>
  <c r="I39" i="6" s="1"/>
  <c r="J39" i="6" s="1"/>
  <c r="K39" i="6" s="1"/>
  <c r="F47" i="6"/>
  <c r="G47" i="6" s="1"/>
  <c r="H47" i="6" s="1"/>
  <c r="I47" i="6" s="1"/>
  <c r="J47" i="6" s="1"/>
  <c r="K47" i="6" s="1"/>
  <c r="F9" i="6"/>
  <c r="F5" i="6"/>
  <c r="G5" i="6" s="1"/>
  <c r="H5" i="6" s="1"/>
  <c r="I5" i="6" s="1"/>
  <c r="J5" i="6" s="1"/>
  <c r="K5" i="6" s="1"/>
  <c r="D9" i="2"/>
  <c r="B3" i="2"/>
  <c r="C28" i="2"/>
  <c r="O51" i="2" l="1"/>
  <c r="E9" i="2"/>
  <c r="I29" i="2"/>
  <c r="J29" i="2"/>
  <c r="B14" i="7"/>
  <c r="C46" i="2"/>
  <c r="D46" i="2" s="1"/>
  <c r="E46" i="2" s="1"/>
  <c r="F46" i="2" s="1"/>
  <c r="H46" i="2" s="1"/>
  <c r="I46" i="2" s="1"/>
  <c r="J46" i="2" s="1"/>
  <c r="K46" i="2" s="1"/>
  <c r="L46" i="2" s="1"/>
  <c r="M46" i="2" s="1"/>
  <c r="G9" i="6"/>
  <c r="H9" i="6" s="1"/>
  <c r="B25" i="6"/>
  <c r="C25" i="6" s="1"/>
  <c r="D25" i="6" s="1"/>
  <c r="E25" i="6" s="1"/>
  <c r="F25" i="6" s="1"/>
  <c r="G25" i="6" s="1"/>
  <c r="A19" i="6"/>
  <c r="D28" i="2"/>
  <c r="E28" i="2" s="1"/>
  <c r="F28" i="2" s="1"/>
  <c r="H28" i="2" s="1"/>
  <c r="I28" i="2" s="1"/>
  <c r="J28" i="2" s="1"/>
  <c r="K28" i="2" s="1"/>
  <c r="L28" i="2" s="1"/>
  <c r="M28" i="2" s="1"/>
  <c r="F9" i="2" l="1"/>
  <c r="A10" i="4"/>
  <c r="A8" i="4"/>
  <c r="A21" i="4"/>
  <c r="A7" i="4"/>
  <c r="O9" i="2"/>
  <c r="O28" i="2" s="1"/>
  <c r="O46" i="2" s="1"/>
  <c r="C14" i="7"/>
  <c r="R11" i="2"/>
  <c r="H9" i="2"/>
  <c r="K29" i="2"/>
  <c r="B3" i="7"/>
  <c r="B7" i="7" s="1"/>
  <c r="C7" i="7" s="1"/>
  <c r="D7" i="7" s="1"/>
  <c r="E7" i="7" s="1"/>
  <c r="A20" i="6"/>
  <c r="I9" i="6"/>
  <c r="A21" i="6"/>
  <c r="D14" i="7" l="1"/>
  <c r="M29" i="2"/>
  <c r="C3" i="3"/>
  <c r="D3" i="3" s="1"/>
  <c r="E3" i="3" s="1"/>
  <c r="F3" i="3" s="1"/>
  <c r="G3" i="3" s="1"/>
  <c r="H3" i="3" s="1"/>
  <c r="I9" i="2"/>
  <c r="L29" i="2"/>
  <c r="B28" i="7"/>
  <c r="J9" i="6"/>
  <c r="A22" i="6"/>
  <c r="H10" i="2"/>
  <c r="G47" i="7" s="1"/>
  <c r="E14" i="7" l="1"/>
  <c r="C15" i="3"/>
  <c r="J9" i="2"/>
  <c r="A23" i="6"/>
  <c r="K9" i="6"/>
  <c r="C28" i="7"/>
  <c r="B44" i="7"/>
  <c r="H47" i="2"/>
  <c r="H48" i="2" s="1"/>
  <c r="F10" i="6"/>
  <c r="G14" i="7" l="1"/>
  <c r="H14" i="7"/>
  <c r="D15" i="3"/>
  <c r="K15" i="3"/>
  <c r="K9" i="2"/>
  <c r="H51" i="2"/>
  <c r="H49" i="2"/>
  <c r="H50" i="2" s="1"/>
  <c r="F13" i="6"/>
  <c r="F14" i="6" s="1"/>
  <c r="C19" i="6" s="1"/>
  <c r="D19" i="6" s="1"/>
  <c r="E19" i="6" s="1"/>
  <c r="F19" i="6" s="1"/>
  <c r="D28" i="7"/>
  <c r="C44" i="7"/>
  <c r="C27" i="6" l="1"/>
  <c r="C26" i="6"/>
  <c r="I14" i="7"/>
  <c r="E15" i="3"/>
  <c r="L15" i="3"/>
  <c r="L9" i="2"/>
  <c r="F48" i="6"/>
  <c r="G48" i="7" s="1"/>
  <c r="G41" i="7" s="1"/>
  <c r="E28" i="7"/>
  <c r="D44" i="7"/>
  <c r="G33" i="6" l="1"/>
  <c r="G49" i="6" s="1"/>
  <c r="H16" i="7" s="1"/>
  <c r="I29" i="7" s="1"/>
  <c r="J14" i="7"/>
  <c r="M15" i="3"/>
  <c r="F15" i="3"/>
  <c r="M9" i="2"/>
  <c r="G35" i="6"/>
  <c r="G50" i="6" s="1"/>
  <c r="I12" i="2" s="1"/>
  <c r="G36" i="6"/>
  <c r="G34" i="6"/>
  <c r="G49" i="7"/>
  <c r="H15" i="7"/>
  <c r="G28" i="7"/>
  <c r="E44" i="7"/>
  <c r="N44" i="7" s="1"/>
  <c r="Q41" i="2" l="1"/>
  <c r="Q40" i="2"/>
  <c r="Q23" i="2"/>
  <c r="Q22" i="2"/>
  <c r="Q21" i="2"/>
  <c r="Q42" i="2"/>
  <c r="Q39" i="2"/>
  <c r="K14" i="7"/>
  <c r="G15" i="3"/>
  <c r="N15" i="3"/>
  <c r="Q29" i="2"/>
  <c r="Q44" i="2"/>
  <c r="Q25" i="2"/>
  <c r="Q19" i="2"/>
  <c r="Q20" i="2"/>
  <c r="Q37" i="2"/>
  <c r="Q24" i="2"/>
  <c r="Q13" i="2"/>
  <c r="Q11" i="2"/>
  <c r="Q35" i="2"/>
  <c r="Q34" i="2"/>
  <c r="Q16" i="2"/>
  <c r="Q31" i="2"/>
  <c r="Q15" i="2"/>
  <c r="Q32" i="2"/>
  <c r="Q17" i="2"/>
  <c r="Q18" i="2"/>
  <c r="Q14" i="2"/>
  <c r="Q43" i="2"/>
  <c r="Q38" i="2"/>
  <c r="Q33" i="2"/>
  <c r="Q36" i="2"/>
  <c r="Q30" i="2"/>
  <c r="A41" i="4" s="1"/>
  <c r="H46" i="7"/>
  <c r="G11" i="6" s="1"/>
  <c r="G50" i="7"/>
  <c r="I10" i="2"/>
  <c r="H28" i="7"/>
  <c r="G44" i="7"/>
  <c r="L14" i="7" l="1"/>
  <c r="I47" i="2"/>
  <c r="I48" i="2" s="1"/>
  <c r="H47" i="7"/>
  <c r="G10" i="6" s="1"/>
  <c r="H15" i="3"/>
  <c r="P15" i="3" s="1"/>
  <c r="O15" i="3"/>
  <c r="G13" i="6"/>
  <c r="I51" i="2"/>
  <c r="I49" i="2"/>
  <c r="I50" i="2" s="1"/>
  <c r="I28" i="7"/>
  <c r="H44" i="7"/>
  <c r="P53" i="7" l="1"/>
  <c r="G14" i="6"/>
  <c r="G48" i="6"/>
  <c r="H48" i="7" s="1"/>
  <c r="H41" i="7" s="1"/>
  <c r="J28" i="7"/>
  <c r="I44" i="7"/>
  <c r="D27" i="6" l="1"/>
  <c r="H36" i="6" s="1"/>
  <c r="D20" i="6"/>
  <c r="E20" i="6" s="1"/>
  <c r="F20" i="6" s="1"/>
  <c r="D26" i="6"/>
  <c r="H33" i="6" s="1"/>
  <c r="H49" i="6" s="1"/>
  <c r="I16" i="7" s="1"/>
  <c r="J29" i="7" s="1"/>
  <c r="I15" i="7"/>
  <c r="H49" i="7"/>
  <c r="I46" i="7" s="1"/>
  <c r="H11" i="6" s="1"/>
  <c r="H35" i="6"/>
  <c r="H50" i="6" s="1"/>
  <c r="J12" i="2" s="1"/>
  <c r="H34" i="6"/>
  <c r="K28" i="7"/>
  <c r="J44" i="7"/>
  <c r="K44" i="7" l="1"/>
  <c r="L28" i="7"/>
  <c r="L44" i="7" s="1"/>
  <c r="H50" i="7"/>
  <c r="J10" i="2"/>
  <c r="J47" i="2" l="1"/>
  <c r="J48" i="2" s="1"/>
  <c r="I47" i="7"/>
  <c r="H10" i="6" s="1"/>
  <c r="H13" i="6" s="1"/>
  <c r="H14" i="6" s="1"/>
  <c r="H48" i="6"/>
  <c r="I48" i="7" s="1"/>
  <c r="I49" i="7" s="1"/>
  <c r="J51" i="2"/>
  <c r="J49" i="2"/>
  <c r="J50" i="2" s="1"/>
  <c r="E27" i="6" l="1"/>
  <c r="E21" i="6"/>
  <c r="F21" i="6" s="1"/>
  <c r="E26" i="6"/>
  <c r="I35" i="6"/>
  <c r="I50" i="6" s="1"/>
  <c r="I36" i="6"/>
  <c r="J46" i="7"/>
  <c r="I11" i="6" s="1"/>
  <c r="I50" i="7"/>
  <c r="I41" i="7"/>
  <c r="I33" i="6"/>
  <c r="I49" i="6" s="1"/>
  <c r="J16" i="7" s="1"/>
  <c r="K29" i="7" s="1"/>
  <c r="I34" i="6"/>
  <c r="K12" i="2" l="1"/>
  <c r="K10" i="2" s="1"/>
  <c r="J15" i="7"/>
  <c r="J47" i="7" s="1"/>
  <c r="K47" i="2"/>
  <c r="I10" i="6"/>
  <c r="I13" i="6" s="1"/>
  <c r="I14" i="6" s="1"/>
  <c r="F27" i="6" l="1"/>
  <c r="F22" i="6"/>
  <c r="K48" i="2"/>
  <c r="K51" i="2" s="1"/>
  <c r="F26" i="6"/>
  <c r="K49" i="2"/>
  <c r="K50" i="2" s="1"/>
  <c r="J36" i="6"/>
  <c r="I48" i="6"/>
  <c r="J48" i="7" s="1"/>
  <c r="J41" i="7" s="1"/>
  <c r="J33" i="6" l="1"/>
  <c r="J49" i="6" s="1"/>
  <c r="K16" i="7" s="1"/>
  <c r="L29" i="7" s="1"/>
  <c r="J34" i="6"/>
  <c r="J35" i="6"/>
  <c r="J50" i="6" s="1"/>
  <c r="J49" i="7"/>
  <c r="L12" i="2" l="1"/>
  <c r="K15" i="7"/>
  <c r="L10" i="2"/>
  <c r="K46" i="7"/>
  <c r="J50" i="7"/>
  <c r="J11" i="6" l="1"/>
  <c r="K47" i="7"/>
  <c r="L47" i="2"/>
  <c r="L48" i="2" l="1"/>
  <c r="J10" i="6"/>
  <c r="J13" i="6" s="1"/>
  <c r="L51" i="2"/>
  <c r="L49" i="2"/>
  <c r="L50" i="2" l="1"/>
  <c r="J14" i="6"/>
  <c r="G26" i="6" l="1"/>
  <c r="G27" i="6"/>
  <c r="J48" i="6"/>
  <c r="K48" i="7" s="1"/>
  <c r="K49" i="7" l="1"/>
  <c r="K41" i="7"/>
  <c r="K35" i="6"/>
  <c r="K50" i="6" s="1"/>
  <c r="M12" i="2" s="1"/>
  <c r="K36" i="6"/>
  <c r="K34" i="6"/>
  <c r="K33" i="6"/>
  <c r="K49" i="6" s="1"/>
  <c r="L16" i="7" s="1"/>
  <c r="L15" i="7" s="1"/>
  <c r="B25" i="7"/>
  <c r="M10" i="2" l="1"/>
  <c r="Q12" i="2"/>
  <c r="K50" i="7"/>
  <c r="L46" i="7"/>
  <c r="P46" i="7" s="1"/>
  <c r="O49" i="2"/>
  <c r="C56" i="7"/>
  <c r="D56" i="7" s="1"/>
  <c r="E56" i="7" s="1"/>
  <c r="G56" i="7" s="1"/>
  <c r="H56" i="7" s="1"/>
  <c r="I56" i="7" s="1"/>
  <c r="J56" i="7" s="1"/>
  <c r="K56" i="7" s="1"/>
  <c r="B52" i="7"/>
  <c r="M47" i="2" l="1"/>
  <c r="A35" i="4"/>
  <c r="Q10" i="2"/>
  <c r="L47" i="7"/>
  <c r="K10" i="6" s="1"/>
  <c r="B55" i="7"/>
  <c r="B54" i="7"/>
  <c r="K11" i="6"/>
  <c r="K13" i="6" s="1"/>
  <c r="C52" i="7"/>
  <c r="L56" i="7"/>
  <c r="A44" i="4" s="1"/>
  <c r="M48" i="2" l="1"/>
  <c r="A36" i="4"/>
  <c r="Q47" i="2"/>
  <c r="M49" i="2"/>
  <c r="C55" i="7"/>
  <c r="C54" i="7"/>
  <c r="K14" i="6"/>
  <c r="K48" i="6" s="1"/>
  <c r="L48" i="7" s="1"/>
  <c r="D52" i="7"/>
  <c r="M50" i="2" l="1"/>
  <c r="A37" i="4"/>
  <c r="Q49" i="2"/>
  <c r="Q48" i="2"/>
  <c r="A38" i="4"/>
  <c r="M51" i="2"/>
  <c r="D55" i="7"/>
  <c r="D54" i="7"/>
  <c r="L41" i="7"/>
  <c r="L49" i="7"/>
  <c r="E52" i="7"/>
  <c r="L50" i="7" l="1"/>
  <c r="P50" i="7" s="1"/>
  <c r="A48" i="4"/>
  <c r="P49" i="7"/>
  <c r="A39" i="4"/>
  <c r="Q51" i="2"/>
  <c r="E55" i="7"/>
  <c r="E54" i="7"/>
  <c r="G52" i="7"/>
  <c r="N52" i="7"/>
  <c r="N55" i="7"/>
  <c r="B4" i="4"/>
  <c r="A22" i="4" s="1"/>
  <c r="A24" i="4"/>
  <c r="G55" i="7" l="1"/>
  <c r="G54" i="7"/>
  <c r="N54" i="7"/>
  <c r="H52" i="7"/>
  <c r="H55" i="7" l="1"/>
  <c r="H54" i="7"/>
  <c r="I52" i="7"/>
  <c r="I55" i="7" l="1"/>
  <c r="I54" i="7"/>
  <c r="J52" i="7"/>
  <c r="J55" i="7" l="1"/>
  <c r="J54" i="7"/>
  <c r="K52" i="7"/>
  <c r="O12" i="2"/>
  <c r="C26" i="2"/>
  <c r="K55" i="7" l="1"/>
  <c r="K54" i="7"/>
  <c r="L52" i="7"/>
  <c r="O26" i="2"/>
  <c r="A17" i="4" s="1"/>
  <c r="Q26" i="2"/>
  <c r="A40" i="4" s="1"/>
  <c r="P52" i="7" l="1"/>
  <c r="B30" i="4"/>
  <c r="L55" i="7"/>
  <c r="L54" i="7"/>
  <c r="A47" i="4" s="1"/>
  <c r="P54" i="7"/>
  <c r="P55" i="7"/>
  <c r="A45" i="4" l="1"/>
</calcChain>
</file>

<file path=xl/sharedStrings.xml><?xml version="1.0" encoding="utf-8"?>
<sst xmlns="http://schemas.openxmlformats.org/spreadsheetml/2006/main" count="196" uniqueCount="144">
  <si>
    <t>INFORMATIONS GENERALES</t>
  </si>
  <si>
    <t xml:space="preserve">Nom de la collectivité : </t>
  </si>
  <si>
    <t xml:space="preserve">Année de départ de l'analyse rétrospective : </t>
  </si>
  <si>
    <t>Unité de référence pour l'analyse</t>
  </si>
  <si>
    <t>en milliers d'euros</t>
  </si>
  <si>
    <t xml:space="preserve">Nombre d'habitants : </t>
  </si>
  <si>
    <t>en %</t>
  </si>
  <si>
    <t>DEPENSES ET RECETTES A PRENDRE EN COMPTE DANS L'ANALYSE</t>
  </si>
  <si>
    <t>SECTION DE FONCTIONNEMENT</t>
  </si>
  <si>
    <t>Charges de personnel</t>
  </si>
  <si>
    <t>Charges financières (intérêts de la dette)</t>
  </si>
  <si>
    <t>Autres dépenses réelles de fonctionnement</t>
  </si>
  <si>
    <t>Autres recettes réelles de fonctionnement</t>
  </si>
  <si>
    <t>SECTION D'INVESTISSEMENT</t>
  </si>
  <si>
    <t>Remboursement du capital la dette</t>
  </si>
  <si>
    <t>FCTVA</t>
  </si>
  <si>
    <t>Emprunts nouveaux</t>
  </si>
  <si>
    <t>Autres dépenses d'investissement</t>
  </si>
  <si>
    <t>Autres recettes d'investissement</t>
  </si>
  <si>
    <t>PERIODE DE COMPARAISON</t>
  </si>
  <si>
    <t>Année 1</t>
  </si>
  <si>
    <t>Année 2</t>
  </si>
  <si>
    <t>en euros</t>
  </si>
  <si>
    <t>en millions d'euros</t>
  </si>
  <si>
    <t>Ou Excédent reporté=Article 002 (résultat fonctionnement reporté)</t>
  </si>
  <si>
    <t>&lt;&lt;&lt;&lt;&lt;&lt;&lt;&lt;&lt;RETROSPECTIVE&lt;&lt;&lt;&lt;&lt;&lt;&lt;&lt;&lt;&lt;</t>
  </si>
  <si>
    <t>&gt;&gt;&gt;&gt;&gt;&gt;&gt;&gt;&gt;&gt;&gt;&gt;&gt;&gt;&gt;&gt;&gt;&gt;PROSPECTIVE&gt;&gt;&gt;&gt;&gt;&gt;&gt;&gt;&gt;&gt;&gt;&gt;&gt;&gt;&gt;&gt;&gt;&gt;</t>
  </si>
  <si>
    <t>DEPENSES RELLES DE FONCTIONNEMENT</t>
  </si>
  <si>
    <t>Hypothèse 
prospective</t>
  </si>
  <si>
    <t xml:space="preserve">Total des dépenses réelles de fonctionnement </t>
  </si>
  <si>
    <t>Oui</t>
  </si>
  <si>
    <t>Non</t>
  </si>
  <si>
    <t>RECETTES RELLES DE FONCTIONNEMENT</t>
  </si>
  <si>
    <t>Hypothèse prospective</t>
  </si>
  <si>
    <t xml:space="preserve">Total des recettes réelles de fonctionnement </t>
  </si>
  <si>
    <t>Capacité d'autofinancement brute</t>
  </si>
  <si>
    <t>Taux d'épargne brute</t>
  </si>
  <si>
    <t>VARIATIONS DE LA SECTION DE FONCTIONNEMENT</t>
  </si>
  <si>
    <t>HYPOTHESES (en % d'évolution)</t>
  </si>
  <si>
    <t>Type de dépense ou recette</t>
  </si>
  <si>
    <t xml:space="preserve">Total impact annuel cumulé  </t>
  </si>
  <si>
    <t>REPRISE DES EXCEDENTS OU DEFICITS DE LA SECTION</t>
  </si>
  <si>
    <t>Total des recettes réelles d'investissement</t>
  </si>
  <si>
    <t>Total des recettes réelles d'investissement hors excédents reportés</t>
  </si>
  <si>
    <t>DEPENSES RELLES D'INVESTISSEMENT</t>
  </si>
  <si>
    <t>Eligible
 FCTVA</t>
  </si>
  <si>
    <t>Total des dépenses réelles d'investissement</t>
  </si>
  <si>
    <t>Autres dépenses réelles d'investissement</t>
  </si>
  <si>
    <t>RECETTES RELLES D'INVESTISSEMENT</t>
  </si>
  <si>
    <t>Nouvel emprunt</t>
  </si>
  <si>
    <t>Financement des investissements (réserves et emprunts nouveaux)</t>
  </si>
  <si>
    <t>Fonds de roulement au 01/01 (réserve) - A</t>
  </si>
  <si>
    <t>Besoin ou capacité annuel de financement - B</t>
  </si>
  <si>
    <t>Emprunt nouveau - C</t>
  </si>
  <si>
    <t>Fonds de roulement au 31/12/ =(A-B+C)</t>
  </si>
  <si>
    <t>Fonds de roulement sans emprunt nouveau =(A-B)</t>
  </si>
  <si>
    <t>Indicateurs sur la dette</t>
  </si>
  <si>
    <t>En cours de dette au 31/12/</t>
  </si>
  <si>
    <t>Nombre d'habitants</t>
  </si>
  <si>
    <t>En cours de dette par habitant</t>
  </si>
  <si>
    <t>Capacité dynamique de désendettement</t>
  </si>
  <si>
    <t>Cumul des investissement</t>
  </si>
  <si>
    <t>ECHEANCES DE LA DETTE ACTUELLE</t>
  </si>
  <si>
    <t>Remboursement du capital des emprunts déjà contractés</t>
  </si>
  <si>
    <t>Intérêts (charge financière)</t>
  </si>
  <si>
    <t>CALCUL ET MODALITE DU RECOURS A L'EMPRUNT NOUVEAU</t>
  </si>
  <si>
    <t>Besoin de financement des investissements</t>
  </si>
  <si>
    <t>Fonds de roulement au 01/01</t>
  </si>
  <si>
    <t>Seuil minimul souhaité du fonds de roulement au 31/12</t>
  </si>
  <si>
    <t>Besoin d'emprint</t>
  </si>
  <si>
    <t>Besoin d'emprunt (calcul automatique)</t>
  </si>
  <si>
    <t>Durée du nouvel emprunt (en années)</t>
  </si>
  <si>
    <t>Taux estimé du nouvel emprunt (en %)</t>
  </si>
  <si>
    <t>Evolution du capital restant du par emprunt</t>
  </si>
  <si>
    <t>Calcul de l'impact de la nouvelle dette</t>
  </si>
  <si>
    <t>Remboursement Capital nouvelle date</t>
  </si>
  <si>
    <t>Intérêts</t>
  </si>
  <si>
    <t>Mode de reprise des données (saisie automatique recommandée)</t>
  </si>
  <si>
    <t>Saisie automatique</t>
  </si>
  <si>
    <t>CALCUL AUTOMATIQUE - DETTE NOUVELLE</t>
  </si>
  <si>
    <t>Remboursement du capital des emprunts</t>
  </si>
  <si>
    <t xml:space="preserve"> Dont impact de la nouvelle dette (prospective)</t>
  </si>
  <si>
    <t>SAISIE MANUELLE - DETTE NOUVELLE</t>
  </si>
  <si>
    <t>Montant des nouveau emprunts</t>
  </si>
  <si>
    <t>Saisie manuelle</t>
  </si>
  <si>
    <t>Nouvel Emprunt</t>
  </si>
  <si>
    <t>Rmbst Capital</t>
  </si>
  <si>
    <t>Rmbst Intérêt</t>
  </si>
  <si>
    <t>Objet</t>
  </si>
  <si>
    <t>LA SECTION DE FONCTIONNEMENT</t>
  </si>
  <si>
    <t>LES INVESTISSEMENTS ET LEUR FINANCEMENT</t>
  </si>
  <si>
    <t>Variation de la dette</t>
  </si>
  <si>
    <t xml:space="preserve">Variation de la dette </t>
  </si>
  <si>
    <t>Indicateur</t>
  </si>
  <si>
    <t>Option 1 : recommandée</t>
  </si>
  <si>
    <t>N° du scénario</t>
  </si>
  <si>
    <t>&gt;Pratique si plusieurs scénarios envisagés</t>
  </si>
  <si>
    <t>Evolution annuelle du nombre d'habitants (estimation)</t>
  </si>
  <si>
    <t>RETRAIT DES EXCEDENTS DE FONCTIONNEMENT</t>
  </si>
  <si>
    <t>Montant annuel de la dépense</t>
  </si>
  <si>
    <t>Montant annuel de la recette</t>
  </si>
  <si>
    <t>REPRISE DE L'EXCEDENT OU DEFICIT</t>
  </si>
  <si>
    <t>Déficit reporté=Article 002 (résultat fonctionnement reporté)</t>
  </si>
  <si>
    <t>Récurrent</t>
  </si>
  <si>
    <t>RECOURS A LA DETTE ET REMBOURSEMENT DES ANNUITES</t>
  </si>
  <si>
    <t>&gt;Il est recommandé de conserver l'unité en "milliers d'euros"</t>
  </si>
  <si>
    <t>dont Article 1068 (recette)</t>
  </si>
  <si>
    <t>ANALYSE / INDICATEURS DU FONCTIONNEMENT</t>
  </si>
  <si>
    <t>ANALYSE / INDICATEURS FINANCEMENT DES INVESTISSEMENTS</t>
  </si>
  <si>
    <t>A saisir</t>
  </si>
  <si>
    <t>Dépense (déficit antérieur d'investissement) : Article 001</t>
  </si>
  <si>
    <t>Recette (excédent antérieur) : Article 001</t>
  </si>
  <si>
    <t>COMMENTAIRES COMPLEMENTAIRES</t>
  </si>
  <si>
    <t>Inserez-ici, si vous le souhaitez, des commentaires complémentaires à intégrer au rapport.</t>
  </si>
  <si>
    <t>cf module Dette</t>
  </si>
  <si>
    <t>Dépenses à analyser</t>
  </si>
  <si>
    <t>Recettes à analyser</t>
  </si>
  <si>
    <r>
      <rPr>
        <i/>
        <sz val="8"/>
        <color theme="1"/>
        <rFont val="Aptos Narrow"/>
        <family val="2"/>
      </rPr>
      <t>&gt;</t>
    </r>
    <r>
      <rPr>
        <i/>
        <sz val="8"/>
        <color theme="1"/>
        <rFont val="Ebrima"/>
      </rPr>
      <t>Il est recommandé d'indiquer la population DGF</t>
    </r>
  </si>
  <si>
    <t>&gt;Saisir ce champ si l'article 001 est constaté en dépense (déficit)</t>
  </si>
  <si>
    <t>&gt;Saisir ce champ si l'article 001 est constaté en recette (excédent).</t>
  </si>
  <si>
    <t>&gt;Saisir ce champ si l'article 002 est en recette (excédent).</t>
  </si>
  <si>
    <t>&gt;Saisir ce champ si l'article 002 est en dépenses (déficit)</t>
  </si>
  <si>
    <t>&lt;&lt;&lt; Deux options  possibles (à selectionner en cliquant sur la cellule)</t>
  </si>
  <si>
    <t>PROJETS OU GROSSES VARIATIONS EN SECTION DE FONCTIONNEMENT</t>
  </si>
  <si>
    <t>Inflation mesurée</t>
  </si>
  <si>
    <t>Inflation plus importante</t>
  </si>
  <si>
    <t>Evolution des bases fiscales</t>
  </si>
  <si>
    <t>Evolution Fluides</t>
  </si>
  <si>
    <t>Evolution charge RH</t>
  </si>
  <si>
    <t>Evolution des dotations</t>
  </si>
  <si>
    <t xml:space="preserve">A compléter ! </t>
  </si>
  <si>
    <t>Ou Option 2 : non recommandée</t>
  </si>
  <si>
    <r>
      <rPr>
        <sz val="9"/>
        <color rgb="FFBF11A6"/>
        <rFont val="Aptos Narrow"/>
        <family val="2"/>
      </rPr>
      <t>&gt;</t>
    </r>
    <r>
      <rPr>
        <i/>
        <sz val="9"/>
        <color rgb="FFBF11A6"/>
        <rFont val="Ebrima"/>
      </rPr>
      <t>Les éléments pré-saisis (en violet) sont "figés"</t>
    </r>
  </si>
  <si>
    <t>Stable (gel)</t>
  </si>
  <si>
    <t xml:space="preserve"> </t>
  </si>
  <si>
    <t>Capacité d'autofinancement nette (après remboursement des emprunts)</t>
  </si>
  <si>
    <t>Capacité d'autofinancement nette (hors non récurrent)</t>
  </si>
  <si>
    <t>Capacité d'autofinancement brute (hors non récurrent)</t>
  </si>
  <si>
    <t>Délai de perception du FCTVA</t>
  </si>
  <si>
    <t>N</t>
  </si>
  <si>
    <t>&gt;N-1 = perception du FCTVA sur les dépenses de l'année écoulée</t>
  </si>
  <si>
    <t>N+1</t>
  </si>
  <si>
    <t>N+2</t>
  </si>
  <si>
    <r>
      <t xml:space="preserve">ElanVision - Version n°1.3 </t>
    </r>
    <r>
      <rPr>
        <sz val="8"/>
        <color theme="8" tint="-0.249977111117893"/>
        <rFont val="Ebrima"/>
      </rPr>
      <t>(de décembre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</si>
</sst>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61" x14ac:knownFonts="1">
    <font>
      <sz val="11"/>
      <color theme="1"/>
      <name val="Calibri"/>
      <family val="2"/>
      <scheme val="minor"/>
    </font>
    <font>
      <sz val="10"/>
      <color theme="1"/>
      <name val="Ebrima"/>
    </font>
    <font>
      <b/>
      <sz val="10"/>
      <color theme="1"/>
      <name val="Ebrima"/>
    </font>
    <font>
      <u/>
      <sz val="10"/>
      <color theme="1"/>
      <name val="Ebrima"/>
    </font>
    <font>
      <sz val="11"/>
      <color theme="1"/>
      <name val="Calibri"/>
      <family val="2"/>
      <scheme val="minor"/>
    </font>
    <font>
      <b/>
      <sz val="11"/>
      <color theme="1"/>
      <name val="Ebrima"/>
    </font>
    <font>
      <b/>
      <sz val="14"/>
      <color theme="1"/>
      <name val="Ebrima"/>
    </font>
    <font>
      <sz val="11"/>
      <color theme="1"/>
      <name val="Ebrima"/>
    </font>
    <font>
      <b/>
      <sz val="10.5"/>
      <color theme="1"/>
      <name val="Ebrima"/>
    </font>
    <font>
      <b/>
      <u/>
      <sz val="11"/>
      <color theme="1"/>
      <name val="Ebrima"/>
    </font>
    <font>
      <b/>
      <sz val="9"/>
      <color theme="1"/>
      <name val="Ebrima"/>
    </font>
    <font>
      <b/>
      <sz val="10"/>
      <color rgb="FFFF0000"/>
      <name val="Ebrima"/>
    </font>
    <font>
      <b/>
      <sz val="11"/>
      <name val="Ebrima"/>
    </font>
    <font>
      <i/>
      <sz val="10"/>
      <color theme="1"/>
      <name val="Ebrima"/>
    </font>
    <font>
      <sz val="10"/>
      <color rgb="FFFF0000"/>
      <name val="Ebrima"/>
    </font>
    <font>
      <i/>
      <sz val="8"/>
      <color theme="1"/>
      <name val="Ebrima"/>
    </font>
    <font>
      <i/>
      <u/>
      <sz val="10"/>
      <color theme="1"/>
      <name val="Ebrima"/>
    </font>
    <font>
      <b/>
      <i/>
      <u/>
      <sz val="11"/>
      <color theme="1"/>
      <name val="Ebrima"/>
    </font>
    <font>
      <i/>
      <u/>
      <sz val="11"/>
      <color theme="1"/>
      <name val="Ebrima"/>
    </font>
    <font>
      <sz val="8"/>
      <color theme="1"/>
      <name val="Ebrima"/>
    </font>
    <font>
      <sz val="10"/>
      <name val="Ebrima"/>
    </font>
    <font>
      <b/>
      <u/>
      <sz val="11"/>
      <name val="Ebrima"/>
    </font>
    <font>
      <b/>
      <sz val="11"/>
      <color rgb="FFFF0000"/>
      <name val="Ebrima"/>
    </font>
    <font>
      <i/>
      <sz val="10"/>
      <name val="Ebrima"/>
    </font>
    <font>
      <sz val="8"/>
      <color rgb="FFFF0000"/>
      <name val="Ebrima"/>
    </font>
    <font>
      <b/>
      <u/>
      <sz val="10"/>
      <color theme="1"/>
      <name val="Ebrima"/>
    </font>
    <font>
      <sz val="11"/>
      <color rgb="FFFF0000"/>
      <name val="Ebrima"/>
    </font>
    <font>
      <u/>
      <sz val="11"/>
      <color theme="1"/>
      <name val="Ebrima"/>
    </font>
    <font>
      <sz val="9"/>
      <color theme="1"/>
      <name val="Ebrima"/>
    </font>
    <font>
      <sz val="9"/>
      <color rgb="FFFF0000"/>
      <name val="Ebrima"/>
    </font>
    <font>
      <b/>
      <sz val="10.5"/>
      <color theme="0"/>
      <name val="Ebrima"/>
    </font>
    <font>
      <b/>
      <sz val="14"/>
      <color theme="0"/>
      <name val="Ebrima"/>
    </font>
    <font>
      <sz val="10.5"/>
      <color theme="0"/>
      <name val="Ebrima"/>
    </font>
    <font>
      <i/>
      <sz val="10"/>
      <color theme="0"/>
      <name val="Ebrima"/>
    </font>
    <font>
      <b/>
      <sz val="8"/>
      <color rgb="FF2B956A"/>
      <name val="Ebrima"/>
    </font>
    <font>
      <b/>
      <sz val="12"/>
      <color theme="0"/>
      <name val="Ebrima"/>
    </font>
    <font>
      <b/>
      <sz val="11"/>
      <color theme="0"/>
      <name val="Ebrima"/>
    </font>
    <font>
      <sz val="11"/>
      <color rgb="FF002060"/>
      <name val="Ebrima"/>
    </font>
    <font>
      <sz val="10"/>
      <color rgb="FFE6F3FE"/>
      <name val="Ebrima"/>
    </font>
    <font>
      <sz val="11"/>
      <color rgb="FFC00000"/>
      <name val="Ebrima"/>
    </font>
    <font>
      <b/>
      <sz val="11"/>
      <color rgb="FFC00000"/>
      <name val="Ebrima"/>
    </font>
    <font>
      <b/>
      <sz val="10"/>
      <color theme="0"/>
      <name val="Ebrima"/>
    </font>
    <font>
      <sz val="9"/>
      <color theme="0"/>
      <name val="Ebrima"/>
    </font>
    <font>
      <sz val="10"/>
      <color theme="0"/>
      <name val="Ebrima"/>
    </font>
    <font>
      <b/>
      <sz val="11"/>
      <color theme="8" tint="-0.249977111117893"/>
      <name val="Ebrima"/>
    </font>
    <font>
      <i/>
      <sz val="10"/>
      <color rgb="FFBF11A6"/>
      <name val="Ebrima"/>
    </font>
    <font>
      <b/>
      <u/>
      <sz val="12"/>
      <color theme="1"/>
      <name val="Ebrima"/>
    </font>
    <font>
      <i/>
      <sz val="9"/>
      <color theme="1"/>
      <name val="Ebrima"/>
    </font>
    <font>
      <i/>
      <sz val="11"/>
      <color theme="1"/>
      <name val="Ebrima"/>
    </font>
    <font>
      <b/>
      <sz val="12"/>
      <color theme="1"/>
      <name val="Ebrima"/>
    </font>
    <font>
      <b/>
      <sz val="13"/>
      <color theme="0"/>
      <name val="Ebrima"/>
    </font>
    <font>
      <i/>
      <sz val="9"/>
      <name val="Ebrima"/>
    </font>
    <font>
      <i/>
      <sz val="8"/>
      <color theme="1"/>
      <name val="Aptos Narrow"/>
      <family val="2"/>
    </font>
    <font>
      <b/>
      <i/>
      <u/>
      <sz val="9"/>
      <color theme="1"/>
      <name val="Ebrima"/>
    </font>
    <font>
      <sz val="10"/>
      <color rgb="FFBF11A6"/>
      <name val="Ebrima"/>
    </font>
    <font>
      <sz val="8"/>
      <color rgb="FFBF11A6"/>
      <name val="Ebrima"/>
    </font>
    <font>
      <sz val="10"/>
      <color theme="1"/>
      <name val="Calibri"/>
      <family val="2"/>
      <scheme val="minor"/>
    </font>
    <font>
      <i/>
      <sz val="9"/>
      <color rgb="FFBF11A6"/>
      <name val="Ebrima"/>
    </font>
    <font>
      <sz val="9"/>
      <color rgb="FFBF11A6"/>
      <name val="Aptos Narrow"/>
      <family val="2"/>
    </font>
    <font>
      <i/>
      <sz val="9"/>
      <color rgb="FFBF11A6"/>
      <name val="Ebrima"/>
      <family val="2"/>
    </font>
    <font>
      <sz val="8"/>
      <color theme="8" tint="-0.249977111117893"/>
      <name val="Ebrima"/>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0F0F0"/>
        <bgColor indexed="64"/>
      </patternFill>
    </fill>
    <fill>
      <patternFill patternType="solid">
        <fgColor rgb="FFEAEAEA"/>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E6F3FE"/>
        <bgColor indexed="64"/>
      </patternFill>
    </fill>
    <fill>
      <patternFill patternType="solid">
        <fgColor rgb="FFECFEF5"/>
        <bgColor indexed="64"/>
      </patternFill>
    </fill>
    <fill>
      <patternFill patternType="solid">
        <fgColor rgb="FFFEFFF7"/>
        <bgColor indexed="64"/>
      </patternFill>
    </fill>
    <fill>
      <patternFill patternType="solid">
        <fgColor rgb="FFFCFFE7"/>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rgb="FF0070C0"/>
        <bgColor indexed="64"/>
      </patternFill>
    </fill>
    <fill>
      <patternFill patternType="solid">
        <fgColor rgb="FF2B956A"/>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59999389629810485"/>
        <bgColor indexed="64"/>
      </patternFill>
    </fill>
  </fills>
  <borders count="183">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dashDotDot">
        <color indexed="64"/>
      </bottom>
      <diagonal/>
    </border>
    <border>
      <left style="hair">
        <color indexed="64"/>
      </left>
      <right style="hair">
        <color indexed="64"/>
      </right>
      <top style="medium">
        <color indexed="64"/>
      </top>
      <bottom style="dashDotDot">
        <color indexed="64"/>
      </bottom>
      <diagonal/>
    </border>
    <border>
      <left style="hair">
        <color indexed="64"/>
      </left>
      <right style="medium">
        <color indexed="64"/>
      </right>
      <top style="medium">
        <color indexed="64"/>
      </top>
      <bottom style="dashDotDot">
        <color indexed="64"/>
      </bottom>
      <diagonal/>
    </border>
    <border>
      <left/>
      <right style="hair">
        <color indexed="64"/>
      </right>
      <top style="medium">
        <color indexed="64"/>
      </top>
      <bottom style="dashDotDot">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dashDotDot">
        <color indexed="64"/>
      </right>
      <top style="medium">
        <color indexed="64"/>
      </top>
      <bottom style="dashDotDot">
        <color indexed="64"/>
      </bottom>
      <diagonal/>
    </border>
    <border>
      <left style="hair">
        <color indexed="64"/>
      </left>
      <right style="dashDotDot">
        <color indexed="64"/>
      </right>
      <top/>
      <bottom style="hair">
        <color indexed="64"/>
      </bottom>
      <diagonal/>
    </border>
    <border>
      <left style="hair">
        <color indexed="64"/>
      </left>
      <right style="dashDotDot">
        <color indexed="64"/>
      </right>
      <top style="hair">
        <color indexed="64"/>
      </top>
      <bottom style="hair">
        <color indexed="64"/>
      </bottom>
      <diagonal/>
    </border>
    <border>
      <left style="hair">
        <color indexed="64"/>
      </left>
      <right style="dashDotDot">
        <color indexed="64"/>
      </right>
      <top style="hair">
        <color indexed="64"/>
      </top>
      <bottom style="medium">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dashDotDot">
        <color indexed="64"/>
      </bottom>
      <diagonal/>
    </border>
    <border>
      <left style="medium">
        <color indexed="64"/>
      </left>
      <right/>
      <top style="medium">
        <color indexed="64"/>
      </top>
      <bottom style="dashDotDot">
        <color indexed="64"/>
      </bottom>
      <diagonal/>
    </border>
    <border>
      <left style="medium">
        <color indexed="64"/>
      </left>
      <right/>
      <top style="dashDotDot">
        <color indexed="64"/>
      </top>
      <bottom style="hair">
        <color indexed="64"/>
      </bottom>
      <diagonal/>
    </border>
    <border>
      <left/>
      <right style="hair">
        <color indexed="64"/>
      </right>
      <top style="dashDotDot">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ashDotDot">
        <color indexed="64"/>
      </right>
      <top style="medium">
        <color indexed="64"/>
      </top>
      <bottom style="dashDotDot">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medium">
        <color indexed="64"/>
      </bottom>
      <diagonal/>
    </border>
    <border>
      <left/>
      <right style="medium">
        <color indexed="64"/>
      </right>
      <top/>
      <bottom/>
      <diagonal/>
    </border>
    <border>
      <left/>
      <right style="medium">
        <color indexed="64"/>
      </right>
      <top style="hair">
        <color indexed="64"/>
      </top>
      <bottom style="hair">
        <color indexed="64"/>
      </bottom>
      <diagonal/>
    </border>
    <border>
      <left/>
      <right/>
      <top style="medium">
        <color indexed="64"/>
      </top>
      <bottom style="dashDotDot">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dashDotDot">
        <color indexed="64"/>
      </right>
      <top style="hair">
        <color indexed="64"/>
      </top>
      <bottom style="thin">
        <color indexed="64"/>
      </bottom>
      <diagonal/>
    </border>
    <border>
      <left style="hair">
        <color indexed="64"/>
      </left>
      <right style="dashDotDot">
        <color indexed="64"/>
      </right>
      <top/>
      <bottom/>
      <diagonal/>
    </border>
    <border>
      <left/>
      <right/>
      <top style="thin">
        <color indexed="64"/>
      </top>
      <bottom/>
      <diagonal/>
    </border>
    <border>
      <left style="medium">
        <color indexed="64"/>
      </left>
      <right style="hair">
        <color indexed="64"/>
      </right>
      <top style="medium">
        <color indexed="64"/>
      </top>
      <bottom/>
      <diagonal/>
    </border>
    <border>
      <left style="hair">
        <color indexed="64"/>
      </left>
      <right style="dashDotDot">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style="dashDotDot">
        <color indexed="64"/>
      </bottom>
      <diagonal/>
    </border>
    <border>
      <left style="medium">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style="dotted">
        <color indexed="64"/>
      </top>
      <bottom style="hair">
        <color indexed="64"/>
      </bottom>
      <diagonal/>
    </border>
    <border>
      <left/>
      <right style="medium">
        <color indexed="64"/>
      </right>
      <top style="dotted">
        <color indexed="64"/>
      </top>
      <bottom style="hair">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hair">
        <color indexed="64"/>
      </bottom>
      <diagonal/>
    </border>
    <border>
      <left style="dashDotDot">
        <color indexed="64"/>
      </left>
      <right style="dashDotDot">
        <color indexed="64"/>
      </right>
      <top style="dashDotDot">
        <color indexed="64"/>
      </top>
      <bottom style="hair">
        <color indexed="64"/>
      </bottom>
      <diagonal/>
    </border>
    <border>
      <left style="dashDotDot">
        <color indexed="64"/>
      </left>
      <right style="hair">
        <color indexed="64"/>
      </right>
      <top style="hair">
        <color indexed="64"/>
      </top>
      <bottom style="hair">
        <color indexed="64"/>
      </bottom>
      <diagonal/>
    </border>
    <border>
      <left style="dashDotDot">
        <color indexed="64"/>
      </left>
      <right style="hair">
        <color indexed="64"/>
      </right>
      <top style="hair">
        <color indexed="64"/>
      </top>
      <bottom style="medium">
        <color indexed="64"/>
      </bottom>
      <diagonal/>
    </border>
    <border diagonalUp="1">
      <left style="dashDotDot">
        <color indexed="64"/>
      </left>
      <right style="hair">
        <color indexed="64"/>
      </right>
      <top style="hair">
        <color indexed="64"/>
      </top>
      <bottom style="hair">
        <color indexed="64"/>
      </bottom>
      <diagonal style="dashDotDot">
        <color indexed="64"/>
      </diagonal>
    </border>
    <border diagonalUp="1">
      <left style="hair">
        <color indexed="64"/>
      </left>
      <right style="hair">
        <color indexed="64"/>
      </right>
      <top style="hair">
        <color indexed="64"/>
      </top>
      <bottom style="hair">
        <color indexed="64"/>
      </bottom>
      <diagonal style="dashDotDot">
        <color indexed="64"/>
      </diagonal>
    </border>
    <border diagonalUp="1">
      <left style="hair">
        <color indexed="64"/>
      </left>
      <right style="medium">
        <color indexed="64"/>
      </right>
      <top style="hair">
        <color indexed="64"/>
      </top>
      <bottom style="hair">
        <color indexed="64"/>
      </bottom>
      <diagonal style="dashDotDot">
        <color indexed="64"/>
      </diagonal>
    </border>
    <border>
      <left style="hair">
        <color indexed="64"/>
      </left>
      <right style="dashDotDot">
        <color indexed="64"/>
      </right>
      <top style="dashDotDot">
        <color indexed="64"/>
      </top>
      <bottom style="hair">
        <color indexed="64"/>
      </bottom>
      <diagonal/>
    </border>
    <border>
      <left style="dashDotDot">
        <color indexed="64"/>
      </left>
      <right style="hair">
        <color indexed="64"/>
      </right>
      <top style="dashDotDot">
        <color indexed="64"/>
      </top>
      <bottom style="hair">
        <color indexed="64"/>
      </bottom>
      <diagonal/>
    </border>
    <border>
      <left style="dashDotDot">
        <color indexed="64"/>
      </left>
      <right style="dashDot">
        <color indexed="64"/>
      </right>
      <top style="hair">
        <color indexed="64"/>
      </top>
      <bottom style="hair">
        <color indexed="64"/>
      </bottom>
      <diagonal/>
    </border>
    <border>
      <left style="dashDotDot">
        <color indexed="64"/>
      </left>
      <right style="dashDot">
        <color indexed="64"/>
      </right>
      <top style="hair">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style="dashDotDot">
        <color indexed="64"/>
      </left>
      <right style="hair">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dashDotDot">
        <color indexed="64"/>
      </bottom>
      <diagonal/>
    </border>
    <border>
      <left style="medium">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dashDotDot">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bottom style="hair">
        <color indexed="64"/>
      </bottom>
      <diagonal/>
    </border>
    <border>
      <left style="hair">
        <color indexed="64"/>
      </left>
      <right/>
      <top/>
      <bottom/>
      <diagonal/>
    </border>
    <border>
      <left/>
      <right style="hair">
        <color indexed="64"/>
      </right>
      <top/>
      <bottom/>
      <diagonal/>
    </border>
    <border diagonalUp="1">
      <left/>
      <right/>
      <top/>
      <bottom/>
      <diagonal style="dotted">
        <color indexed="64"/>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hair">
        <color indexed="64"/>
      </right>
      <top style="medium">
        <color indexed="64"/>
      </top>
      <bottom style="hair">
        <color indexed="64"/>
      </bottom>
      <diagonal/>
    </border>
    <border diagonalUp="1">
      <left style="thin">
        <color indexed="64"/>
      </left>
      <right/>
      <top/>
      <bottom/>
      <diagonal style="dotted">
        <color indexed="64"/>
      </diagonal>
    </border>
    <border diagonalUp="1">
      <left/>
      <right style="thin">
        <color indexed="64"/>
      </right>
      <top/>
      <bottom/>
      <diagonal style="dotted">
        <color indexed="64"/>
      </diagonal>
    </border>
    <border diagonalUp="1">
      <left style="thin">
        <color indexed="64"/>
      </left>
      <right/>
      <top style="medium">
        <color indexed="64"/>
      </top>
      <bottom/>
      <diagonal style="dotted">
        <color indexed="64"/>
      </diagonal>
    </border>
    <border diagonalUp="1">
      <left/>
      <right/>
      <top style="medium">
        <color indexed="64"/>
      </top>
      <bottom/>
      <diagonal style="dotted">
        <color indexed="64"/>
      </diagonal>
    </border>
    <border diagonalUp="1">
      <left/>
      <right style="thin">
        <color indexed="64"/>
      </right>
      <top style="medium">
        <color indexed="64"/>
      </top>
      <bottom/>
      <diagonal style="dotted">
        <color indexed="64"/>
      </diagonal>
    </border>
    <border diagonalUp="1">
      <left style="thin">
        <color indexed="64"/>
      </left>
      <right/>
      <top/>
      <bottom style="medium">
        <color indexed="64"/>
      </bottom>
      <diagonal style="dotted">
        <color indexed="64"/>
      </diagonal>
    </border>
    <border diagonalUp="1">
      <left/>
      <right/>
      <top/>
      <bottom style="medium">
        <color indexed="64"/>
      </bottom>
      <diagonal style="dotted">
        <color indexed="64"/>
      </diagonal>
    </border>
    <border diagonalUp="1">
      <left/>
      <right style="thin">
        <color indexed="64"/>
      </right>
      <top/>
      <bottom style="medium">
        <color indexed="64"/>
      </bottom>
      <diagonal style="dotted">
        <color indexed="64"/>
      </diagonal>
    </border>
    <border>
      <left style="medium">
        <color indexed="64"/>
      </left>
      <right style="hair">
        <color indexed="64"/>
      </right>
      <top style="medium">
        <color indexed="64"/>
      </top>
      <bottom style="hair">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ashDotDot">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dashDotDot">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ashDotDot">
        <color indexed="64"/>
      </left>
      <right style="dashDotDot">
        <color indexed="64"/>
      </right>
      <top style="medium">
        <color indexed="64"/>
      </top>
      <bottom/>
      <diagonal/>
    </border>
    <border>
      <left style="dashDotDot">
        <color indexed="64"/>
      </left>
      <right style="dashDotDot">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dashDotDot">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medium">
        <color indexed="64"/>
      </top>
      <bottom style="dashDot">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medium">
        <color indexed="64"/>
      </left>
      <right style="medium">
        <color indexed="64"/>
      </right>
      <top style="dashed">
        <color indexed="64"/>
      </top>
      <bottom/>
      <diagonal/>
    </border>
  </borders>
  <cellStyleXfs count="2">
    <xf numFmtId="0" fontId="0" fillId="0" borderId="0"/>
    <xf numFmtId="9" fontId="4" fillId="0" borderId="0" applyFont="0" applyFill="0" applyBorder="0" applyAlignment="0" applyProtection="0"/>
  </cellStyleXfs>
  <cellXfs count="607">
    <xf numFmtId="0" fontId="0" fillId="0" borderId="0" xfId="0"/>
    <xf numFmtId="0" fontId="7" fillId="4" borderId="0" xfId="0" applyFont="1" applyFill="1"/>
    <xf numFmtId="0" fontId="1" fillId="7" borderId="0" xfId="0" applyFont="1" applyFill="1"/>
    <xf numFmtId="0" fontId="7" fillId="7" borderId="0" xfId="0" applyFont="1" applyFill="1"/>
    <xf numFmtId="0" fontId="8" fillId="8" borderId="52" xfId="0" applyFont="1" applyFill="1" applyBorder="1" applyAlignment="1">
      <alignment horizontal="center"/>
    </xf>
    <xf numFmtId="0" fontId="8" fillId="8" borderId="53" xfId="0" applyFont="1" applyFill="1" applyBorder="1" applyAlignment="1">
      <alignment horizontal="center"/>
    </xf>
    <xf numFmtId="0" fontId="8" fillId="8" borderId="51" xfId="0" applyFont="1" applyFill="1" applyBorder="1" applyAlignment="1">
      <alignment horizontal="center"/>
    </xf>
    <xf numFmtId="0" fontId="1" fillId="12" borderId="2" xfId="0" applyFont="1" applyFill="1" applyBorder="1"/>
    <xf numFmtId="0" fontId="7" fillId="12" borderId="2" xfId="0" applyFont="1" applyFill="1" applyBorder="1"/>
    <xf numFmtId="0" fontId="7" fillId="12" borderId="4" xfId="0" applyFont="1" applyFill="1" applyBorder="1"/>
    <xf numFmtId="0" fontId="2" fillId="12" borderId="6" xfId="0" applyFont="1" applyFill="1" applyBorder="1" applyAlignment="1">
      <alignment horizontal="center"/>
    </xf>
    <xf numFmtId="0" fontId="2" fillId="12" borderId="7" xfId="0" applyFont="1" applyFill="1" applyBorder="1" applyAlignment="1">
      <alignment horizontal="center"/>
    </xf>
    <xf numFmtId="0" fontId="2" fillId="12" borderId="8" xfId="0" applyFont="1" applyFill="1" applyBorder="1" applyAlignment="1">
      <alignment horizontal="center"/>
    </xf>
    <xf numFmtId="0" fontId="1" fillId="12" borderId="4" xfId="0" applyFont="1" applyFill="1" applyBorder="1"/>
    <xf numFmtId="0" fontId="7" fillId="4" borderId="81" xfId="0" applyFont="1" applyFill="1" applyBorder="1"/>
    <xf numFmtId="0" fontId="7" fillId="4" borderId="82" xfId="0" applyFont="1" applyFill="1" applyBorder="1"/>
    <xf numFmtId="0" fontId="7" fillId="4" borderId="83" xfId="0" applyFont="1" applyFill="1" applyBorder="1"/>
    <xf numFmtId="0" fontId="7" fillId="4" borderId="84" xfId="0" applyFont="1" applyFill="1" applyBorder="1"/>
    <xf numFmtId="0" fontId="7" fillId="4" borderId="67" xfId="0" applyFont="1" applyFill="1" applyBorder="1"/>
    <xf numFmtId="0" fontId="7" fillId="4" borderId="85" xfId="0" applyFont="1" applyFill="1" applyBorder="1"/>
    <xf numFmtId="1" fontId="3" fillId="12" borderId="1" xfId="0" applyNumberFormat="1" applyFont="1" applyFill="1" applyBorder="1"/>
    <xf numFmtId="1" fontId="1" fillId="12" borderId="1" xfId="0" applyNumberFormat="1" applyFont="1" applyFill="1" applyBorder="1"/>
    <xf numFmtId="1" fontId="3" fillId="12" borderId="11" xfId="0" applyNumberFormat="1" applyFont="1" applyFill="1" applyBorder="1"/>
    <xf numFmtId="3" fontId="7" fillId="4" borderId="61" xfId="0" applyNumberFormat="1" applyFont="1" applyFill="1" applyBorder="1"/>
    <xf numFmtId="3" fontId="7" fillId="4" borderId="62" xfId="0" applyNumberFormat="1" applyFont="1" applyFill="1" applyBorder="1"/>
    <xf numFmtId="3" fontId="7" fillId="4" borderId="50" xfId="0" applyNumberFormat="1" applyFont="1" applyFill="1" applyBorder="1"/>
    <xf numFmtId="3" fontId="7" fillId="4" borderId="55" xfId="0" applyNumberFormat="1" applyFont="1" applyFill="1" applyBorder="1"/>
    <xf numFmtId="3" fontId="7" fillId="4" borderId="57" xfId="0" applyNumberFormat="1" applyFont="1" applyFill="1" applyBorder="1"/>
    <xf numFmtId="3" fontId="7" fillId="4" borderId="58" xfId="0" applyNumberFormat="1" applyFont="1" applyFill="1" applyBorder="1"/>
    <xf numFmtId="0" fontId="2" fillId="7" borderId="0" xfId="0" applyFont="1" applyFill="1"/>
    <xf numFmtId="0" fontId="1" fillId="4" borderId="0" xfId="0" applyFont="1" applyFill="1" applyProtection="1">
      <protection hidden="1"/>
    </xf>
    <xf numFmtId="0" fontId="14" fillId="4" borderId="0" xfId="0" applyFont="1" applyFill="1" applyProtection="1">
      <protection hidden="1"/>
    </xf>
    <xf numFmtId="0" fontId="7" fillId="11" borderId="54" xfId="0" applyFont="1" applyFill="1" applyBorder="1" applyProtection="1">
      <protection hidden="1"/>
    </xf>
    <xf numFmtId="0" fontId="5" fillId="4" borderId="0" xfId="0" applyFont="1" applyFill="1" applyProtection="1">
      <protection hidden="1"/>
    </xf>
    <xf numFmtId="0" fontId="15" fillId="4" borderId="0" xfId="0" applyFont="1" applyFill="1" applyProtection="1">
      <protection hidden="1"/>
    </xf>
    <xf numFmtId="0" fontId="2" fillId="4" borderId="0" xfId="0" applyFont="1" applyFill="1" applyProtection="1">
      <protection hidden="1"/>
    </xf>
    <xf numFmtId="0" fontId="7" fillId="11" borderId="56" xfId="0" applyFont="1" applyFill="1" applyBorder="1" applyProtection="1">
      <protection hidden="1"/>
    </xf>
    <xf numFmtId="0" fontId="1" fillId="7" borderId="0" xfId="0" applyFont="1" applyFill="1" applyProtection="1">
      <protection hidden="1"/>
    </xf>
    <xf numFmtId="0" fontId="1" fillId="7" borderId="18" xfId="0" applyFont="1" applyFill="1" applyBorder="1" applyProtection="1">
      <protection hidden="1"/>
    </xf>
    <xf numFmtId="0" fontId="1" fillId="5" borderId="0" xfId="0" applyFont="1" applyFill="1" applyProtection="1">
      <protection hidden="1"/>
    </xf>
    <xf numFmtId="49" fontId="1" fillId="5" borderId="0" xfId="0" applyNumberFormat="1" applyFont="1" applyFill="1" applyProtection="1">
      <protection hidden="1"/>
    </xf>
    <xf numFmtId="3" fontId="1" fillId="5" borderId="0" xfId="0" applyNumberFormat="1" applyFont="1" applyFill="1" applyProtection="1">
      <protection hidden="1"/>
    </xf>
    <xf numFmtId="0" fontId="10" fillId="5" borderId="0" xfId="0" applyFont="1" applyFill="1" applyAlignment="1" applyProtection="1">
      <alignment horizontal="center" wrapText="1"/>
      <protection hidden="1"/>
    </xf>
    <xf numFmtId="0" fontId="2" fillId="9" borderId="23" xfId="0" applyFont="1" applyFill="1" applyBorder="1" applyAlignment="1" applyProtection="1">
      <alignment horizontal="center"/>
      <protection hidden="1"/>
    </xf>
    <xf numFmtId="0" fontId="2" fillId="9" borderId="39" xfId="0" applyFont="1" applyFill="1" applyBorder="1" applyAlignment="1" applyProtection="1">
      <alignment horizontal="center"/>
      <protection hidden="1"/>
    </xf>
    <xf numFmtId="3" fontId="17" fillId="12" borderId="35" xfId="0" applyNumberFormat="1" applyFont="1" applyFill="1" applyBorder="1" applyProtection="1">
      <protection hidden="1"/>
    </xf>
    <xf numFmtId="3" fontId="17" fillId="12" borderId="22" xfId="0" applyNumberFormat="1" applyFont="1" applyFill="1" applyBorder="1" applyProtection="1">
      <protection hidden="1"/>
    </xf>
    <xf numFmtId="3" fontId="9" fillId="12" borderId="24" xfId="0" applyNumberFormat="1" applyFont="1" applyFill="1" applyBorder="1" applyProtection="1">
      <protection hidden="1"/>
    </xf>
    <xf numFmtId="9" fontId="1" fillId="5" borderId="0" xfId="1" applyFont="1" applyFill="1" applyProtection="1">
      <protection hidden="1"/>
    </xf>
    <xf numFmtId="3" fontId="13" fillId="12" borderId="36" xfId="0" applyNumberFormat="1" applyFont="1" applyFill="1" applyBorder="1" applyProtection="1">
      <protection hidden="1"/>
    </xf>
    <xf numFmtId="3" fontId="13" fillId="12" borderId="1" xfId="0" applyNumberFormat="1" applyFont="1" applyFill="1" applyBorder="1" applyProtection="1">
      <protection hidden="1"/>
    </xf>
    <xf numFmtId="3" fontId="1" fillId="12" borderId="11" xfId="0" applyNumberFormat="1" applyFont="1" applyFill="1" applyBorder="1" applyProtection="1">
      <protection hidden="1"/>
    </xf>
    <xf numFmtId="3" fontId="1" fillId="12" borderId="87" xfId="0" applyNumberFormat="1" applyFont="1" applyFill="1" applyBorder="1" applyProtection="1">
      <protection hidden="1"/>
    </xf>
    <xf numFmtId="0" fontId="1" fillId="5" borderId="29" xfId="0" applyFont="1" applyFill="1" applyBorder="1" applyProtection="1">
      <protection hidden="1"/>
    </xf>
    <xf numFmtId="0" fontId="2" fillId="10" borderId="23" xfId="0" applyFont="1" applyFill="1" applyBorder="1" applyAlignment="1" applyProtection="1">
      <alignment horizontal="center"/>
      <protection hidden="1"/>
    </xf>
    <xf numFmtId="0" fontId="2" fillId="10" borderId="35" xfId="0" applyFont="1" applyFill="1" applyBorder="1" applyAlignment="1" applyProtection="1">
      <alignment horizontal="center"/>
      <protection hidden="1"/>
    </xf>
    <xf numFmtId="3" fontId="1" fillId="12" borderId="36" xfId="0" applyNumberFormat="1" applyFont="1" applyFill="1" applyBorder="1" applyProtection="1">
      <protection hidden="1"/>
    </xf>
    <xf numFmtId="3" fontId="1" fillId="12" borderId="1" xfId="0" applyNumberFormat="1" applyFont="1" applyFill="1" applyBorder="1" applyProtection="1">
      <protection hidden="1"/>
    </xf>
    <xf numFmtId="3" fontId="1" fillId="12" borderId="23" xfId="0" applyNumberFormat="1" applyFont="1" applyFill="1" applyBorder="1" applyProtection="1">
      <protection hidden="1"/>
    </xf>
    <xf numFmtId="3" fontId="1" fillId="12" borderId="22" xfId="0" applyNumberFormat="1" applyFont="1" applyFill="1" applyBorder="1" applyProtection="1">
      <protection hidden="1"/>
    </xf>
    <xf numFmtId="3" fontId="1" fillId="12" borderId="24" xfId="0" applyNumberFormat="1" applyFont="1" applyFill="1" applyBorder="1" applyProtection="1">
      <protection hidden="1"/>
    </xf>
    <xf numFmtId="3" fontId="1" fillId="12" borderId="10" xfId="0" applyNumberFormat="1" applyFont="1" applyFill="1" applyBorder="1" applyProtection="1">
      <protection hidden="1"/>
    </xf>
    <xf numFmtId="3" fontId="17" fillId="2" borderId="35" xfId="0" applyNumberFormat="1" applyFont="1" applyFill="1" applyBorder="1" applyProtection="1">
      <protection locked="0"/>
    </xf>
    <xf numFmtId="3" fontId="17" fillId="2" borderId="22" xfId="0" applyNumberFormat="1" applyFont="1" applyFill="1" applyBorder="1" applyProtection="1">
      <protection locked="0"/>
    </xf>
    <xf numFmtId="3" fontId="13" fillId="2" borderId="36" xfId="0" applyNumberFormat="1" applyFont="1" applyFill="1" applyBorder="1" applyProtection="1">
      <protection locked="0"/>
    </xf>
    <xf numFmtId="3" fontId="13" fillId="2" borderId="1" xfId="0" applyNumberFormat="1" applyFont="1" applyFill="1" applyBorder="1" applyProtection="1">
      <protection locked="0"/>
    </xf>
    <xf numFmtId="0" fontId="7" fillId="4" borderId="0" xfId="0" applyFont="1" applyFill="1" applyProtection="1">
      <protection hidden="1"/>
    </xf>
    <xf numFmtId="0" fontId="2" fillId="5" borderId="0" xfId="0" applyFont="1" applyFill="1" applyProtection="1">
      <protection hidden="1"/>
    </xf>
    <xf numFmtId="3" fontId="9" fillId="12" borderId="36" xfId="0" applyNumberFormat="1" applyFont="1" applyFill="1" applyBorder="1" applyProtection="1">
      <protection hidden="1"/>
    </xf>
    <xf numFmtId="3" fontId="9" fillId="12" borderId="1" xfId="0" applyNumberFormat="1" applyFont="1" applyFill="1" applyBorder="1" applyProtection="1">
      <protection hidden="1"/>
    </xf>
    <xf numFmtId="3" fontId="9" fillId="12" borderId="11" xfId="0" applyNumberFormat="1" applyFont="1" applyFill="1" applyBorder="1" applyProtection="1">
      <protection hidden="1"/>
    </xf>
    <xf numFmtId="0" fontId="9" fillId="10" borderId="10" xfId="0" applyFont="1" applyFill="1" applyBorder="1" applyAlignment="1" applyProtection="1">
      <alignment horizontal="right"/>
      <protection hidden="1"/>
    </xf>
    <xf numFmtId="3" fontId="2" fillId="12" borderId="112" xfId="0" applyNumberFormat="1" applyFont="1" applyFill="1" applyBorder="1" applyProtection="1">
      <protection hidden="1"/>
    </xf>
    <xf numFmtId="3" fontId="2" fillId="12" borderId="111" xfId="0" applyNumberFormat="1" applyFont="1" applyFill="1" applyBorder="1" applyProtection="1">
      <protection hidden="1"/>
    </xf>
    <xf numFmtId="3" fontId="2" fillId="12" borderId="113" xfId="0" applyNumberFormat="1" applyFont="1" applyFill="1" applyBorder="1" applyProtection="1">
      <protection hidden="1"/>
    </xf>
    <xf numFmtId="0" fontId="11" fillId="5" borderId="0" xfId="0" applyFont="1" applyFill="1" applyProtection="1">
      <protection hidden="1"/>
    </xf>
    <xf numFmtId="3" fontId="17" fillId="2" borderId="1" xfId="0" applyNumberFormat="1" applyFont="1" applyFill="1" applyBorder="1" applyProtection="1">
      <protection locked="0"/>
    </xf>
    <xf numFmtId="3" fontId="17" fillId="2" borderId="40" xfId="0" applyNumberFormat="1" applyFont="1" applyFill="1" applyBorder="1" applyProtection="1">
      <protection locked="0"/>
    </xf>
    <xf numFmtId="3" fontId="13" fillId="2" borderId="40" xfId="0" applyNumberFormat="1" applyFont="1" applyFill="1" applyBorder="1" applyProtection="1">
      <protection locked="0"/>
    </xf>
    <xf numFmtId="3" fontId="12" fillId="5" borderId="0" xfId="0" applyNumberFormat="1" applyFont="1" applyFill="1" applyAlignment="1" applyProtection="1">
      <alignment horizontal="center"/>
      <protection hidden="1"/>
    </xf>
    <xf numFmtId="3" fontId="9" fillId="12" borderId="121" xfId="0" applyNumberFormat="1" applyFont="1" applyFill="1" applyBorder="1" applyProtection="1">
      <protection hidden="1"/>
    </xf>
    <xf numFmtId="3" fontId="1" fillId="12" borderId="122" xfId="0" applyNumberFormat="1" applyFont="1" applyFill="1" applyBorder="1" applyProtection="1">
      <protection hidden="1"/>
    </xf>
    <xf numFmtId="3" fontId="1" fillId="12" borderId="124" xfId="0" applyNumberFormat="1" applyFont="1" applyFill="1" applyBorder="1" applyProtection="1">
      <protection hidden="1"/>
    </xf>
    <xf numFmtId="3" fontId="1" fillId="12" borderId="125" xfId="0" applyNumberFormat="1" applyFont="1" applyFill="1" applyBorder="1" applyProtection="1">
      <protection hidden="1"/>
    </xf>
    <xf numFmtId="3" fontId="1" fillId="12" borderId="126" xfId="0" applyNumberFormat="1" applyFont="1" applyFill="1" applyBorder="1" applyProtection="1">
      <protection hidden="1"/>
    </xf>
    <xf numFmtId="3" fontId="21" fillId="12" borderId="1" xfId="0" applyNumberFormat="1" applyFont="1" applyFill="1" applyBorder="1" applyProtection="1">
      <protection hidden="1"/>
    </xf>
    <xf numFmtId="0" fontId="22" fillId="4" borderId="0" xfId="0" applyFont="1" applyFill="1" applyProtection="1">
      <protection hidden="1"/>
    </xf>
    <xf numFmtId="0" fontId="6" fillId="4" borderId="0" xfId="0" applyFont="1" applyFill="1" applyAlignment="1" applyProtection="1">
      <alignment vertical="center" wrapText="1"/>
      <protection hidden="1"/>
    </xf>
    <xf numFmtId="0" fontId="1" fillId="5" borderId="18" xfId="0" applyFont="1" applyFill="1" applyBorder="1" applyProtection="1">
      <protection hidden="1"/>
    </xf>
    <xf numFmtId="0" fontId="1" fillId="5" borderId="132" xfId="0" applyFont="1" applyFill="1" applyBorder="1" applyProtection="1">
      <protection hidden="1"/>
    </xf>
    <xf numFmtId="0" fontId="20" fillId="4" borderId="0" xfId="0" applyFont="1" applyFill="1" applyProtection="1">
      <protection hidden="1"/>
    </xf>
    <xf numFmtId="164" fontId="13" fillId="12" borderId="134" xfId="1" applyNumberFormat="1" applyFont="1" applyFill="1" applyBorder="1" applyProtection="1">
      <protection hidden="1"/>
    </xf>
    <xf numFmtId="0" fontId="25" fillId="9" borderId="10" xfId="0" applyFont="1" applyFill="1" applyBorder="1" applyAlignment="1" applyProtection="1">
      <alignment horizontal="right"/>
      <protection hidden="1"/>
    </xf>
    <xf numFmtId="0" fontId="7" fillId="0" borderId="0" xfId="0" applyFont="1"/>
    <xf numFmtId="0" fontId="7" fillId="0" borderId="0" xfId="0" applyFont="1" applyAlignment="1">
      <alignment shrinkToFit="1"/>
    </xf>
    <xf numFmtId="0" fontId="7" fillId="0" borderId="0" xfId="0" applyFont="1" applyAlignment="1">
      <alignment horizontal="justify" vertical="top" readingOrder="2"/>
    </xf>
    <xf numFmtId="0" fontId="22" fillId="0" borderId="0" xfId="0" applyFont="1" applyAlignment="1">
      <alignment horizontal="left" vertical="top" wrapText="1" shrinkToFit="1"/>
    </xf>
    <xf numFmtId="0" fontId="26" fillId="4" borderId="0" xfId="0" applyFont="1" applyFill="1" applyProtection="1">
      <protection hidden="1"/>
    </xf>
    <xf numFmtId="164" fontId="13" fillId="2" borderId="1" xfId="0" applyNumberFormat="1" applyFont="1" applyFill="1" applyBorder="1" applyProtection="1">
      <protection locked="0"/>
    </xf>
    <xf numFmtId="164" fontId="13" fillId="2" borderId="89" xfId="0" applyNumberFormat="1" applyFont="1" applyFill="1" applyBorder="1" applyProtection="1">
      <protection locked="0"/>
    </xf>
    <xf numFmtId="164" fontId="13" fillId="2" borderId="11" xfId="0" applyNumberFormat="1" applyFont="1" applyFill="1" applyBorder="1" applyProtection="1">
      <protection locked="0"/>
    </xf>
    <xf numFmtId="164" fontId="13" fillId="2" borderId="16" xfId="0" applyNumberFormat="1" applyFont="1" applyFill="1" applyBorder="1" applyProtection="1">
      <protection locked="0"/>
    </xf>
    <xf numFmtId="164" fontId="13" fillId="2" borderId="90" xfId="0" applyNumberFormat="1" applyFont="1" applyFill="1" applyBorder="1" applyProtection="1">
      <protection locked="0"/>
    </xf>
    <xf numFmtId="164" fontId="13" fillId="2" borderId="17" xfId="0" applyNumberFormat="1" applyFont="1" applyFill="1" applyBorder="1" applyProtection="1">
      <protection locked="0"/>
    </xf>
    <xf numFmtId="0" fontId="11" fillId="4" borderId="0" xfId="0" applyFont="1" applyFill="1" applyProtection="1">
      <protection hidden="1"/>
    </xf>
    <xf numFmtId="0" fontId="1" fillId="2" borderId="10" xfId="0" applyFont="1" applyFill="1" applyBorder="1" applyProtection="1">
      <protection locked="0"/>
    </xf>
    <xf numFmtId="0" fontId="1" fillId="2" borderId="11" xfId="0" applyFont="1" applyFill="1" applyBorder="1" applyProtection="1">
      <protection locked="0"/>
    </xf>
    <xf numFmtId="0" fontId="16" fillId="11" borderId="23" xfId="0" applyFont="1" applyFill="1" applyBorder="1" applyProtection="1">
      <protection hidden="1"/>
    </xf>
    <xf numFmtId="0" fontId="16" fillId="11" borderId="15" xfId="0" applyFont="1" applyFill="1" applyBorder="1" applyProtection="1">
      <protection hidden="1"/>
    </xf>
    <xf numFmtId="3" fontId="1" fillId="2" borderId="24" xfId="0" applyNumberFormat="1" applyFont="1" applyFill="1" applyBorder="1" applyAlignment="1" applyProtection="1">
      <alignment horizontal="center"/>
      <protection locked="0"/>
    </xf>
    <xf numFmtId="3" fontId="1" fillId="2" borderId="17" xfId="0" applyNumberFormat="1" applyFont="1" applyFill="1" applyBorder="1" applyAlignment="1" applyProtection="1">
      <alignment horizontal="center"/>
      <protection locked="0"/>
    </xf>
    <xf numFmtId="0" fontId="13" fillId="11" borderId="23" xfId="0" applyFont="1" applyFill="1" applyBorder="1" applyAlignment="1" applyProtection="1">
      <alignment horizontal="right"/>
      <protection hidden="1"/>
    </xf>
    <xf numFmtId="0" fontId="13" fillId="11" borderId="15" xfId="0" applyFont="1" applyFill="1" applyBorder="1" applyAlignment="1" applyProtection="1">
      <alignment horizontal="right"/>
      <protection hidden="1"/>
    </xf>
    <xf numFmtId="0" fontId="13" fillId="11" borderId="54" xfId="0" applyFont="1" applyFill="1" applyBorder="1" applyAlignment="1" applyProtection="1">
      <alignment horizontal="right"/>
      <protection hidden="1"/>
    </xf>
    <xf numFmtId="0" fontId="18" fillId="11" borderId="56" xfId="0" applyFont="1" applyFill="1" applyBorder="1" applyProtection="1">
      <protection hidden="1"/>
    </xf>
    <xf numFmtId="3" fontId="18" fillId="12" borderId="57" xfId="0" applyNumberFormat="1" applyFont="1" applyFill="1" applyBorder="1" applyProtection="1">
      <protection hidden="1"/>
    </xf>
    <xf numFmtId="3" fontId="18" fillId="12" borderId="58" xfId="0" applyNumberFormat="1" applyFont="1" applyFill="1" applyBorder="1" applyProtection="1">
      <protection hidden="1"/>
    </xf>
    <xf numFmtId="3" fontId="1" fillId="2" borderId="50" xfId="0" applyNumberFormat="1" applyFont="1" applyFill="1" applyBorder="1" applyProtection="1">
      <protection locked="0"/>
    </xf>
    <xf numFmtId="3" fontId="1" fillId="2" borderId="55" xfId="0" applyNumberFormat="1" applyFont="1" applyFill="1" applyBorder="1" applyProtection="1">
      <protection locked="0"/>
    </xf>
    <xf numFmtId="0" fontId="5" fillId="0" borderId="66" xfId="0" applyFont="1" applyBorder="1"/>
    <xf numFmtId="0" fontId="7" fillId="0" borderId="0" xfId="0" applyFont="1" applyAlignment="1">
      <alignment vertical="top" wrapText="1" shrinkToFit="1" readingOrder="2"/>
    </xf>
    <xf numFmtId="0" fontId="22" fillId="0" borderId="0" xfId="0" applyFont="1" applyAlignment="1">
      <alignment horizontal="justify" vertical="top" wrapText="1" shrinkToFit="1" readingOrder="2"/>
    </xf>
    <xf numFmtId="0" fontId="7" fillId="0" borderId="0" xfId="0" applyFont="1" applyAlignment="1">
      <alignment horizontal="center" vertical="top" wrapText="1" shrinkToFit="1" readingOrder="2"/>
    </xf>
    <xf numFmtId="0" fontId="1" fillId="11" borderId="10" xfId="0" applyFont="1" applyFill="1" applyBorder="1" applyAlignment="1" applyProtection="1">
      <alignment horizontal="right"/>
      <protection locked="0" hidden="1"/>
    </xf>
    <xf numFmtId="0" fontId="28" fillId="0" borderId="66" xfId="0" applyFont="1" applyBorder="1"/>
    <xf numFmtId="0" fontId="19" fillId="0" borderId="66" xfId="0" applyFont="1" applyBorder="1"/>
    <xf numFmtId="0" fontId="19" fillId="0" borderId="66" xfId="0" applyFont="1" applyBorder="1" applyAlignment="1">
      <alignment horizontal="right"/>
    </xf>
    <xf numFmtId="1" fontId="24" fillId="0" borderId="66" xfId="0" applyNumberFormat="1" applyFont="1" applyBorder="1" applyAlignment="1">
      <alignment horizontal="right" shrinkToFit="1"/>
    </xf>
    <xf numFmtId="0" fontId="22" fillId="4" borderId="0" xfId="0" applyFont="1" applyFill="1"/>
    <xf numFmtId="0" fontId="1" fillId="2" borderId="102" xfId="0" applyFont="1" applyFill="1" applyBorder="1" applyProtection="1">
      <protection locked="0"/>
    </xf>
    <xf numFmtId="0" fontId="1" fillId="2" borderId="103" xfId="0" applyFont="1" applyFill="1" applyBorder="1" applyProtection="1">
      <protection locked="0"/>
    </xf>
    <xf numFmtId="3" fontId="1" fillId="2" borderId="122" xfId="0" applyNumberFormat="1" applyFont="1" applyFill="1" applyBorder="1" applyProtection="1">
      <protection locked="0"/>
    </xf>
    <xf numFmtId="3" fontId="1" fillId="2" borderId="1" xfId="0" applyNumberFormat="1" applyFont="1" applyFill="1" applyBorder="1" applyProtection="1">
      <protection locked="0"/>
    </xf>
    <xf numFmtId="3" fontId="1" fillId="2" borderId="11" xfId="0" applyNumberFormat="1" applyFont="1" applyFill="1" applyBorder="1" applyProtection="1">
      <protection locked="0"/>
    </xf>
    <xf numFmtId="3" fontId="1" fillId="2" borderId="36" xfId="0" applyNumberFormat="1" applyFont="1" applyFill="1" applyBorder="1" applyProtection="1">
      <protection locked="0"/>
    </xf>
    <xf numFmtId="3" fontId="3" fillId="12" borderId="68" xfId="0" applyNumberFormat="1" applyFont="1" applyFill="1" applyBorder="1" applyProtection="1">
      <protection hidden="1"/>
    </xf>
    <xf numFmtId="3" fontId="3" fillId="12" borderId="50" xfId="0" applyNumberFormat="1" applyFont="1" applyFill="1" applyBorder="1" applyProtection="1">
      <protection hidden="1"/>
    </xf>
    <xf numFmtId="3" fontId="3" fillId="12" borderId="55" xfId="0" applyNumberFormat="1" applyFont="1" applyFill="1" applyBorder="1" applyProtection="1">
      <protection hidden="1"/>
    </xf>
    <xf numFmtId="3" fontId="3" fillId="12" borderId="52" xfId="0" applyNumberFormat="1" applyFont="1" applyFill="1" applyBorder="1" applyProtection="1">
      <protection hidden="1"/>
    </xf>
    <xf numFmtId="3" fontId="1" fillId="12" borderId="70" xfId="0" applyNumberFormat="1" applyFont="1" applyFill="1" applyBorder="1" applyProtection="1">
      <protection hidden="1"/>
    </xf>
    <xf numFmtId="3" fontId="1" fillId="12" borderId="57" xfId="0" applyNumberFormat="1" applyFont="1" applyFill="1" applyBorder="1" applyProtection="1">
      <protection hidden="1"/>
    </xf>
    <xf numFmtId="3" fontId="1" fillId="12" borderId="58" xfId="0" applyNumberFormat="1" applyFont="1" applyFill="1" applyBorder="1" applyProtection="1">
      <protection hidden="1"/>
    </xf>
    <xf numFmtId="0" fontId="8" fillId="3" borderId="111" xfId="0" applyFont="1" applyFill="1" applyBorder="1" applyAlignment="1" applyProtection="1">
      <alignment horizontal="right" vertical="center"/>
      <protection hidden="1"/>
    </xf>
    <xf numFmtId="0" fontId="7" fillId="0" borderId="14" xfId="0" applyFont="1" applyBorder="1" applyAlignment="1">
      <alignment horizontal="left" wrapText="1"/>
    </xf>
    <xf numFmtId="0" fontId="7" fillId="0" borderId="0" xfId="0" applyFont="1" applyAlignment="1">
      <alignment horizontal="left" wrapText="1"/>
    </xf>
    <xf numFmtId="0" fontId="7" fillId="0" borderId="0" xfId="0" applyFont="1" applyAlignment="1">
      <alignment horizontal="justify" vertical="top" wrapText="1" shrinkToFit="1" readingOrder="2"/>
    </xf>
    <xf numFmtId="0" fontId="1" fillId="5" borderId="143" xfId="0" applyFont="1" applyFill="1" applyBorder="1" applyProtection="1">
      <protection hidden="1"/>
    </xf>
    <xf numFmtId="0" fontId="34" fillId="0" borderId="66" xfId="0" applyFont="1" applyBorder="1"/>
    <xf numFmtId="3" fontId="29" fillId="0" borderId="66" xfId="0" applyNumberFormat="1" applyFont="1" applyBorder="1" applyAlignment="1">
      <alignment horizontal="center"/>
    </xf>
    <xf numFmtId="3" fontId="28" fillId="0" borderId="66" xfId="0" applyNumberFormat="1" applyFont="1" applyBorder="1" applyAlignment="1">
      <alignment horizontal="center"/>
    </xf>
    <xf numFmtId="0" fontId="3" fillId="11" borderId="47" xfId="0" applyFont="1" applyFill="1" applyBorder="1"/>
    <xf numFmtId="1" fontId="3" fillId="12" borderId="36" xfId="0" applyNumberFormat="1" applyFont="1" applyFill="1" applyBorder="1"/>
    <xf numFmtId="0" fontId="2" fillId="17" borderId="51" xfId="0" applyFont="1" applyFill="1" applyBorder="1" applyAlignment="1">
      <alignment horizontal="center"/>
    </xf>
    <xf numFmtId="0" fontId="2" fillId="17" borderId="52" xfId="0" applyFont="1" applyFill="1" applyBorder="1" applyAlignment="1">
      <alignment horizontal="center"/>
    </xf>
    <xf numFmtId="0" fontId="2" fillId="17" borderId="69" xfId="0" applyFont="1" applyFill="1" applyBorder="1" applyAlignment="1">
      <alignment horizontal="center"/>
    </xf>
    <xf numFmtId="0" fontId="2" fillId="17" borderId="53" xfId="0" applyFont="1" applyFill="1" applyBorder="1" applyAlignment="1">
      <alignment horizontal="center"/>
    </xf>
    <xf numFmtId="0" fontId="19" fillId="4" borderId="0" xfId="0" applyFont="1" applyFill="1" applyProtection="1">
      <protection hidden="1"/>
    </xf>
    <xf numFmtId="0" fontId="3" fillId="12" borderId="15" xfId="0" applyFont="1" applyFill="1" applyBorder="1" applyAlignment="1" applyProtection="1">
      <alignment horizontal="right"/>
      <protection hidden="1"/>
    </xf>
    <xf numFmtId="1" fontId="36" fillId="16" borderId="117" xfId="0" applyNumberFormat="1" applyFont="1" applyFill="1" applyBorder="1" applyAlignment="1" applyProtection="1">
      <alignment horizontal="right" vertical="center"/>
      <protection hidden="1"/>
    </xf>
    <xf numFmtId="3" fontId="16" fillId="12" borderId="16" xfId="0" applyNumberFormat="1" applyFont="1" applyFill="1" applyBorder="1" applyProtection="1">
      <protection hidden="1"/>
    </xf>
    <xf numFmtId="3" fontId="16" fillId="12" borderId="41" xfId="0" applyNumberFormat="1" applyFont="1" applyFill="1" applyBorder="1" applyProtection="1">
      <protection hidden="1"/>
    </xf>
    <xf numFmtId="3" fontId="3" fillId="2" borderId="37" xfId="0" applyNumberFormat="1" applyFont="1" applyFill="1" applyBorder="1" applyProtection="1">
      <protection locked="0"/>
    </xf>
    <xf numFmtId="3" fontId="3" fillId="2" borderId="16" xfId="0" applyNumberFormat="1" applyFont="1" applyFill="1" applyBorder="1" applyProtection="1">
      <protection locked="0"/>
    </xf>
    <xf numFmtId="3" fontId="3" fillId="2" borderId="17" xfId="0" applyNumberFormat="1" applyFont="1" applyFill="1" applyBorder="1" applyProtection="1">
      <protection locked="0"/>
    </xf>
    <xf numFmtId="0" fontId="3" fillId="2" borderId="15" xfId="0" applyFont="1" applyFill="1" applyBorder="1" applyAlignment="1" applyProtection="1">
      <alignment horizontal="right"/>
      <protection hidden="1"/>
    </xf>
    <xf numFmtId="0" fontId="3" fillId="5" borderId="0" xfId="0" applyFont="1" applyFill="1" applyProtection="1">
      <protection hidden="1"/>
    </xf>
    <xf numFmtId="3" fontId="3" fillId="2" borderId="123" xfId="0" applyNumberFormat="1" applyFont="1" applyFill="1" applyBorder="1" applyProtection="1">
      <protection locked="0"/>
    </xf>
    <xf numFmtId="3" fontId="13" fillId="12" borderId="50" xfId="0" applyNumberFormat="1" applyFont="1" applyFill="1" applyBorder="1" applyProtection="1">
      <protection hidden="1"/>
    </xf>
    <xf numFmtId="3" fontId="13" fillId="12" borderId="57" xfId="0" applyNumberFormat="1" applyFont="1" applyFill="1" applyBorder="1" applyProtection="1">
      <protection hidden="1"/>
    </xf>
    <xf numFmtId="0" fontId="1" fillId="12" borderId="148" xfId="0" applyFont="1" applyFill="1" applyBorder="1" applyAlignment="1">
      <alignment horizontal="right"/>
    </xf>
    <xf numFmtId="0" fontId="1" fillId="11" borderId="149" xfId="0" applyFont="1" applyFill="1" applyBorder="1" applyAlignment="1">
      <alignment horizontal="right"/>
    </xf>
    <xf numFmtId="0" fontId="1" fillId="11" borderId="48" xfId="0" applyFont="1" applyFill="1" applyBorder="1" applyAlignment="1">
      <alignment horizontal="right"/>
    </xf>
    <xf numFmtId="0" fontId="1" fillId="13" borderId="0" xfId="0" applyFont="1" applyFill="1" applyProtection="1">
      <protection hidden="1"/>
    </xf>
    <xf numFmtId="49" fontId="1" fillId="2" borderId="10" xfId="0" applyNumberFormat="1" applyFont="1" applyFill="1" applyBorder="1" applyProtection="1">
      <protection locked="0"/>
    </xf>
    <xf numFmtId="49" fontId="1" fillId="2" borderId="11" xfId="0" applyNumberFormat="1" applyFont="1" applyFill="1" applyBorder="1" applyProtection="1">
      <protection locked="0"/>
    </xf>
    <xf numFmtId="49" fontId="1" fillId="13" borderId="0" xfId="0" applyNumberFormat="1" applyFont="1" applyFill="1" applyProtection="1">
      <protection hidden="1"/>
    </xf>
    <xf numFmtId="0" fontId="38" fillId="13" borderId="0" xfId="0" applyFont="1" applyFill="1" applyProtection="1">
      <protection hidden="1"/>
    </xf>
    <xf numFmtId="49" fontId="38" fillId="13" borderId="0" xfId="0" applyNumberFormat="1" applyFont="1" applyFill="1" applyProtection="1">
      <protection hidden="1"/>
    </xf>
    <xf numFmtId="0" fontId="1" fillId="7" borderId="0" xfId="0" applyFont="1" applyFill="1" applyBorder="1" applyProtection="1">
      <protection hidden="1"/>
    </xf>
    <xf numFmtId="3" fontId="1" fillId="2" borderId="74" xfId="0" applyNumberFormat="1" applyFont="1" applyFill="1" applyBorder="1" applyAlignment="1" applyProtection="1">
      <alignment horizontal="right"/>
      <protection locked="0"/>
    </xf>
    <xf numFmtId="3" fontId="1" fillId="2" borderId="73" xfId="0" applyNumberFormat="1" applyFont="1" applyFill="1" applyBorder="1" applyAlignment="1" applyProtection="1">
      <alignment horizontal="right"/>
      <protection locked="0"/>
    </xf>
    <xf numFmtId="3" fontId="1" fillId="2" borderId="80" xfId="0" applyNumberFormat="1" applyFont="1" applyFill="1" applyBorder="1" applyAlignment="1" applyProtection="1">
      <alignment horizontal="right"/>
      <protection locked="0"/>
    </xf>
    <xf numFmtId="3" fontId="1" fillId="12" borderId="71" xfId="0" applyNumberFormat="1" applyFont="1" applyFill="1" applyBorder="1" applyProtection="1">
      <protection hidden="1"/>
    </xf>
    <xf numFmtId="3" fontId="1" fillId="12" borderId="64" xfId="0" applyNumberFormat="1" applyFont="1" applyFill="1" applyBorder="1" applyProtection="1">
      <protection hidden="1"/>
    </xf>
    <xf numFmtId="3" fontId="1" fillId="12" borderId="65" xfId="0" applyNumberFormat="1" applyFont="1" applyFill="1" applyBorder="1" applyProtection="1">
      <protection hidden="1"/>
    </xf>
    <xf numFmtId="3" fontId="3" fillId="12" borderId="69" xfId="0" applyNumberFormat="1" applyFont="1" applyFill="1" applyBorder="1" applyProtection="1">
      <protection hidden="1"/>
    </xf>
    <xf numFmtId="3" fontId="3" fillId="12" borderId="53" xfId="0" applyNumberFormat="1" applyFont="1" applyFill="1" applyBorder="1" applyProtection="1">
      <protection hidden="1"/>
    </xf>
    <xf numFmtId="0" fontId="39" fillId="0" borderId="14" xfId="0" applyFont="1" applyBorder="1" applyAlignment="1">
      <alignment horizontal="left" vertical="center" wrapText="1"/>
    </xf>
    <xf numFmtId="0" fontId="40" fillId="0" borderId="14" xfId="0" applyFont="1" applyBorder="1" applyAlignment="1">
      <alignment horizontal="left" wrapText="1"/>
    </xf>
    <xf numFmtId="0" fontId="36" fillId="14" borderId="31" xfId="0" applyFont="1" applyFill="1" applyBorder="1" applyAlignment="1" applyProtection="1">
      <alignment horizontal="center" vertical="center"/>
      <protection hidden="1"/>
    </xf>
    <xf numFmtId="0" fontId="36" fillId="14" borderId="38" xfId="0" applyFont="1" applyFill="1" applyBorder="1" applyAlignment="1" applyProtection="1">
      <alignment horizontal="center" vertical="center"/>
      <protection hidden="1"/>
    </xf>
    <xf numFmtId="0" fontId="36" fillId="14" borderId="34" xfId="0" applyFont="1" applyFill="1" applyBorder="1" applyAlignment="1" applyProtection="1">
      <alignment horizontal="center" vertical="center"/>
      <protection hidden="1"/>
    </xf>
    <xf numFmtId="0" fontId="36" fillId="14" borderId="32" xfId="0" applyFont="1" applyFill="1" applyBorder="1" applyAlignment="1" applyProtection="1">
      <alignment horizontal="center" vertical="center"/>
      <protection hidden="1"/>
    </xf>
    <xf numFmtId="0" fontId="36" fillId="14" borderId="33" xfId="0" applyFont="1" applyFill="1" applyBorder="1" applyAlignment="1" applyProtection="1">
      <alignment horizontal="center" vertical="center"/>
      <protection hidden="1"/>
    </xf>
    <xf numFmtId="0" fontId="36" fillId="16" borderId="32" xfId="0" applyFont="1" applyFill="1" applyBorder="1" applyAlignment="1" applyProtection="1">
      <alignment horizontal="center" vertical="center"/>
      <protection hidden="1"/>
    </xf>
    <xf numFmtId="0" fontId="36" fillId="16" borderId="33" xfId="0" applyFont="1" applyFill="1" applyBorder="1" applyAlignment="1" applyProtection="1">
      <alignment horizontal="center" vertical="center"/>
      <protection hidden="1"/>
    </xf>
    <xf numFmtId="0" fontId="36" fillId="16" borderId="31" xfId="0" applyFont="1" applyFill="1" applyBorder="1" applyAlignment="1" applyProtection="1">
      <alignment horizontal="center" vertical="center"/>
      <protection hidden="1"/>
    </xf>
    <xf numFmtId="0" fontId="36" fillId="16" borderId="34" xfId="0" applyFont="1" applyFill="1" applyBorder="1" applyAlignment="1" applyProtection="1">
      <alignment horizontal="center" vertical="center"/>
      <protection hidden="1"/>
    </xf>
    <xf numFmtId="0" fontId="36" fillId="14" borderId="59" xfId="0" applyFont="1" applyFill="1" applyBorder="1" applyAlignment="1" applyProtection="1">
      <alignment horizontal="center" vertical="center" wrapText="1"/>
      <protection hidden="1"/>
    </xf>
    <xf numFmtId="0" fontId="36" fillId="16" borderId="38" xfId="0" applyFont="1" applyFill="1" applyBorder="1" applyAlignment="1" applyProtection="1">
      <alignment horizontal="center" vertical="center"/>
      <protection hidden="1"/>
    </xf>
    <xf numFmtId="0" fontId="36" fillId="16" borderId="59" xfId="0" applyFont="1" applyFill="1" applyBorder="1" applyAlignment="1" applyProtection="1">
      <alignment horizontal="center" vertical="center" wrapText="1"/>
      <protection hidden="1"/>
    </xf>
    <xf numFmtId="0" fontId="26" fillId="0" borderId="14" xfId="0" applyFont="1" applyBorder="1" applyAlignment="1">
      <alignment horizontal="justify" wrapText="1"/>
    </xf>
    <xf numFmtId="0" fontId="26" fillId="0" borderId="86" xfId="0" applyFont="1" applyBorder="1" applyAlignment="1">
      <alignment horizontal="justify" wrapText="1"/>
    </xf>
    <xf numFmtId="0" fontId="36" fillId="18" borderId="25" xfId="0" applyFont="1" applyFill="1" applyBorder="1" applyAlignment="1" applyProtection="1">
      <alignment horizontal="center"/>
      <protection hidden="1"/>
    </xf>
    <xf numFmtId="0" fontId="30" fillId="18" borderId="32" xfId="0" applyFont="1" applyFill="1" applyBorder="1" applyAlignment="1" applyProtection="1">
      <alignment horizontal="center" vertical="center"/>
      <protection hidden="1"/>
    </xf>
    <xf numFmtId="0" fontId="30" fillId="18" borderId="33" xfId="0" applyFont="1" applyFill="1" applyBorder="1" applyAlignment="1" applyProtection="1">
      <alignment horizontal="center" vertical="center"/>
      <protection hidden="1"/>
    </xf>
    <xf numFmtId="0" fontId="30" fillId="18" borderId="31" xfId="0" applyFont="1" applyFill="1" applyBorder="1" applyAlignment="1" applyProtection="1">
      <alignment horizontal="center" vertical="center"/>
      <protection hidden="1"/>
    </xf>
    <xf numFmtId="0" fontId="32" fillId="18" borderId="32" xfId="0" applyFont="1" applyFill="1" applyBorder="1" applyAlignment="1" applyProtection="1">
      <alignment horizontal="center" vertical="center"/>
      <protection hidden="1"/>
    </xf>
    <xf numFmtId="0" fontId="32" fillId="18" borderId="94" xfId="0" applyFont="1" applyFill="1" applyBorder="1" applyAlignment="1" applyProtection="1">
      <alignment horizontal="center" vertical="center" wrapText="1"/>
      <protection hidden="1"/>
    </xf>
    <xf numFmtId="0" fontId="32" fillId="18" borderId="95" xfId="0" applyFont="1" applyFill="1" applyBorder="1" applyAlignment="1" applyProtection="1">
      <alignment horizontal="center" vertical="center" wrapText="1"/>
      <protection hidden="1"/>
    </xf>
    <xf numFmtId="0" fontId="32" fillId="18" borderId="96" xfId="0" applyFont="1" applyFill="1" applyBorder="1" applyAlignment="1" applyProtection="1">
      <alignment horizontal="center" vertical="center"/>
      <protection hidden="1"/>
    </xf>
    <xf numFmtId="0" fontId="32" fillId="18" borderId="97" xfId="0" applyFont="1" applyFill="1" applyBorder="1" applyAlignment="1" applyProtection="1">
      <alignment horizontal="center" vertical="center"/>
      <protection hidden="1"/>
    </xf>
    <xf numFmtId="0" fontId="32" fillId="18" borderId="98" xfId="0" applyFont="1" applyFill="1" applyBorder="1" applyAlignment="1" applyProtection="1">
      <alignment horizontal="center" vertical="center"/>
      <protection hidden="1"/>
    </xf>
    <xf numFmtId="0" fontId="42" fillId="18" borderId="117" xfId="0" applyFont="1" applyFill="1" applyBorder="1" applyAlignment="1" applyProtection="1">
      <alignment horizontal="center" vertical="center" wrapText="1"/>
      <protection hidden="1"/>
    </xf>
    <xf numFmtId="0" fontId="36" fillId="18" borderId="49" xfId="0" applyFont="1" applyFill="1" applyBorder="1" applyProtection="1">
      <protection hidden="1"/>
    </xf>
    <xf numFmtId="0" fontId="36" fillId="18" borderId="27" xfId="0" applyFont="1" applyFill="1" applyBorder="1" applyAlignment="1" applyProtection="1">
      <alignment horizontal="center"/>
      <protection hidden="1"/>
    </xf>
    <xf numFmtId="0" fontId="36" fillId="18" borderId="52" xfId="0" applyFont="1" applyFill="1" applyBorder="1" applyAlignment="1" applyProtection="1">
      <alignment horizontal="center"/>
      <protection hidden="1"/>
    </xf>
    <xf numFmtId="0" fontId="36" fillId="18" borderId="53" xfId="0" applyFont="1" applyFill="1" applyBorder="1" applyAlignment="1" applyProtection="1">
      <alignment horizontal="center"/>
      <protection hidden="1"/>
    </xf>
    <xf numFmtId="0" fontId="1" fillId="11" borderId="160" xfId="0" applyFont="1" applyFill="1" applyBorder="1" applyAlignment="1">
      <alignment horizontal="right"/>
    </xf>
    <xf numFmtId="0" fontId="1" fillId="11" borderId="161" xfId="0" applyFont="1" applyFill="1" applyBorder="1" applyAlignment="1">
      <alignment horizontal="right"/>
    </xf>
    <xf numFmtId="3" fontId="13" fillId="12" borderId="54" xfId="0" applyNumberFormat="1" applyFont="1" applyFill="1" applyBorder="1" applyProtection="1">
      <protection hidden="1"/>
    </xf>
    <xf numFmtId="3" fontId="13" fillId="12" borderId="56" xfId="0" applyNumberFormat="1" applyFont="1" applyFill="1" applyBorder="1" applyProtection="1">
      <protection hidden="1"/>
    </xf>
    <xf numFmtId="0" fontId="41" fillId="14" borderId="10" xfId="0" applyFont="1" applyFill="1" applyBorder="1" applyAlignment="1" applyProtection="1">
      <alignment horizontal="center"/>
      <protection hidden="1"/>
    </xf>
    <xf numFmtId="0" fontId="41" fillId="16" borderId="11" xfId="0" applyFont="1" applyFill="1" applyBorder="1" applyAlignment="1" applyProtection="1">
      <alignment horizontal="center"/>
      <protection hidden="1"/>
    </xf>
    <xf numFmtId="0" fontId="41" fillId="15" borderId="10" xfId="0" applyFont="1" applyFill="1" applyBorder="1" applyAlignment="1" applyProtection="1">
      <alignment horizontal="center"/>
      <protection hidden="1"/>
    </xf>
    <xf numFmtId="0" fontId="43" fillId="14" borderId="137" xfId="0" applyFont="1" applyFill="1" applyBorder="1" applyAlignment="1" applyProtection="1">
      <alignment horizontal="center" wrapText="1"/>
      <protection hidden="1"/>
    </xf>
    <xf numFmtId="0" fontId="43" fillId="16" borderId="137" xfId="0" applyFont="1" applyFill="1" applyBorder="1" applyAlignment="1" applyProtection="1">
      <alignment horizontal="center" wrapText="1"/>
      <protection hidden="1"/>
    </xf>
    <xf numFmtId="0" fontId="43" fillId="18" borderId="137" xfId="0" applyFont="1" applyFill="1" applyBorder="1" applyAlignment="1" applyProtection="1">
      <alignment horizontal="center" wrapText="1"/>
      <protection hidden="1"/>
    </xf>
    <xf numFmtId="0" fontId="36" fillId="18" borderId="51" xfId="0" applyFont="1" applyFill="1" applyBorder="1" applyAlignment="1" applyProtection="1">
      <alignment horizontal="center"/>
      <protection hidden="1"/>
    </xf>
    <xf numFmtId="0" fontId="30" fillId="18" borderId="96" xfId="0" applyFont="1" applyFill="1" applyBorder="1" applyAlignment="1" applyProtection="1">
      <alignment horizontal="center" vertical="center"/>
      <protection hidden="1"/>
    </xf>
    <xf numFmtId="0" fontId="30" fillId="18" borderId="131" xfId="0" applyFont="1" applyFill="1" applyBorder="1" applyAlignment="1" applyProtection="1">
      <alignment horizontal="center" vertical="center"/>
      <protection hidden="1"/>
    </xf>
    <xf numFmtId="164" fontId="1" fillId="12" borderId="16" xfId="1" applyNumberFormat="1" applyFont="1" applyFill="1" applyBorder="1" applyProtection="1">
      <protection hidden="1"/>
    </xf>
    <xf numFmtId="164" fontId="1" fillId="12" borderId="16" xfId="0" applyNumberFormat="1" applyFont="1" applyFill="1" applyBorder="1" applyProtection="1">
      <protection hidden="1"/>
    </xf>
    <xf numFmtId="164" fontId="1" fillId="12" borderId="17" xfId="0" applyNumberFormat="1" applyFont="1" applyFill="1" applyBorder="1" applyProtection="1">
      <protection hidden="1"/>
    </xf>
    <xf numFmtId="164" fontId="1" fillId="5" borderId="0" xfId="0" applyNumberFormat="1" applyFont="1" applyFill="1" applyProtection="1">
      <protection hidden="1"/>
    </xf>
    <xf numFmtId="164" fontId="1" fillId="12" borderId="15" xfId="0" applyNumberFormat="1" applyFont="1" applyFill="1" applyBorder="1" applyProtection="1">
      <protection hidden="1"/>
    </xf>
    <xf numFmtId="164" fontId="13" fillId="12" borderId="135" xfId="1" applyNumberFormat="1" applyFont="1" applyFill="1" applyBorder="1" applyProtection="1">
      <protection hidden="1"/>
    </xf>
    <xf numFmtId="164" fontId="13" fillId="12" borderId="136" xfId="1" applyNumberFormat="1" applyFont="1" applyFill="1" applyBorder="1" applyProtection="1">
      <protection hidden="1"/>
    </xf>
    <xf numFmtId="3" fontId="16" fillId="2" borderId="35" xfId="0" applyNumberFormat="1" applyFont="1" applyFill="1" applyBorder="1" applyProtection="1">
      <protection locked="0"/>
    </xf>
    <xf numFmtId="3" fontId="16" fillId="2" borderId="22" xfId="0" applyNumberFormat="1" applyFont="1" applyFill="1" applyBorder="1" applyProtection="1">
      <protection locked="0"/>
    </xf>
    <xf numFmtId="3" fontId="16" fillId="2" borderId="24" xfId="0" applyNumberFormat="1" applyFont="1" applyFill="1" applyBorder="1" applyProtection="1">
      <protection locked="0"/>
    </xf>
    <xf numFmtId="3" fontId="7" fillId="12" borderId="118" xfId="0" applyNumberFormat="1" applyFont="1" applyFill="1" applyBorder="1" applyAlignment="1" applyProtection="1">
      <alignment wrapText="1"/>
      <protection hidden="1"/>
    </xf>
    <xf numFmtId="3" fontId="6" fillId="4" borderId="0" xfId="0" applyNumberFormat="1" applyFont="1" applyFill="1" applyAlignment="1" applyProtection="1">
      <alignment vertical="center" wrapText="1"/>
      <protection hidden="1"/>
    </xf>
    <xf numFmtId="3" fontId="7" fillId="12" borderId="23" xfId="0" applyNumberFormat="1" applyFont="1" applyFill="1" applyBorder="1" applyProtection="1">
      <protection hidden="1"/>
    </xf>
    <xf numFmtId="3" fontId="7" fillId="12" borderId="22" xfId="0" applyNumberFormat="1" applyFont="1" applyFill="1" applyBorder="1" applyProtection="1">
      <protection hidden="1"/>
    </xf>
    <xf numFmtId="3" fontId="7" fillId="12" borderId="24" xfId="0" applyNumberFormat="1" applyFont="1" applyFill="1" applyBorder="1" applyProtection="1">
      <protection hidden="1"/>
    </xf>
    <xf numFmtId="3" fontId="13" fillId="2" borderId="11" xfId="0" applyNumberFormat="1" applyFont="1" applyFill="1" applyBorder="1" applyProtection="1">
      <protection locked="0"/>
    </xf>
    <xf numFmtId="3" fontId="7" fillId="12" borderId="10" xfId="0" applyNumberFormat="1" applyFont="1" applyFill="1" applyBorder="1" applyProtection="1">
      <protection hidden="1"/>
    </xf>
    <xf numFmtId="3" fontId="7" fillId="12" borderId="1" xfId="0" applyNumberFormat="1" applyFont="1" applyFill="1" applyBorder="1" applyProtection="1">
      <protection hidden="1"/>
    </xf>
    <xf numFmtId="3" fontId="7" fillId="12" borderId="11" xfId="0" applyNumberFormat="1" applyFont="1" applyFill="1" applyBorder="1" applyProtection="1">
      <protection hidden="1"/>
    </xf>
    <xf numFmtId="3" fontId="13" fillId="2" borderId="0" xfId="0" applyNumberFormat="1" applyFont="1" applyFill="1" applyProtection="1">
      <protection locked="0"/>
    </xf>
    <xf numFmtId="3" fontId="13" fillId="2" borderId="42" xfId="0" applyNumberFormat="1" applyFont="1" applyFill="1" applyBorder="1" applyProtection="1">
      <protection locked="0"/>
    </xf>
    <xf numFmtId="3" fontId="13" fillId="2" borderId="9" xfId="0" applyNumberFormat="1" applyFont="1" applyFill="1" applyBorder="1" applyProtection="1">
      <protection locked="0"/>
    </xf>
    <xf numFmtId="3" fontId="13" fillId="2" borderId="13" xfId="0" applyNumberFormat="1" applyFont="1" applyFill="1" applyBorder="1" applyProtection="1">
      <protection locked="0"/>
    </xf>
    <xf numFmtId="3" fontId="7" fillId="12" borderId="119" xfId="0" applyNumberFormat="1" applyFont="1" applyFill="1" applyBorder="1" applyAlignment="1" applyProtection="1">
      <alignment wrapText="1"/>
      <protection hidden="1"/>
    </xf>
    <xf numFmtId="3" fontId="7" fillId="12" borderId="118" xfId="0" applyNumberFormat="1" applyFont="1" applyFill="1" applyBorder="1" applyProtection="1">
      <protection hidden="1"/>
    </xf>
    <xf numFmtId="3" fontId="7" fillId="4" borderId="0" xfId="0" applyNumberFormat="1" applyFont="1" applyFill="1" applyProtection="1">
      <protection hidden="1"/>
    </xf>
    <xf numFmtId="3" fontId="7" fillId="12" borderId="119" xfId="0" applyNumberFormat="1" applyFont="1" applyFill="1" applyBorder="1" applyProtection="1">
      <protection hidden="1"/>
    </xf>
    <xf numFmtId="3" fontId="7" fillId="12" borderId="15" xfId="0" applyNumberFormat="1" applyFont="1" applyFill="1" applyBorder="1" applyProtection="1">
      <protection hidden="1"/>
    </xf>
    <xf numFmtId="3" fontId="7" fillId="12" borderId="16" xfId="0" applyNumberFormat="1" applyFont="1" applyFill="1" applyBorder="1" applyProtection="1">
      <protection hidden="1"/>
    </xf>
    <xf numFmtId="3" fontId="7" fillId="12" borderId="17" xfId="0" applyNumberFormat="1" applyFont="1" applyFill="1" applyBorder="1" applyProtection="1">
      <protection hidden="1"/>
    </xf>
    <xf numFmtId="0" fontId="30" fillId="18" borderId="94" xfId="0" applyFont="1" applyFill="1" applyBorder="1" applyAlignment="1" applyProtection="1">
      <alignment horizontal="center" vertical="center" wrapText="1"/>
      <protection hidden="1"/>
    </xf>
    <xf numFmtId="164" fontId="13" fillId="12" borderId="164" xfId="1" applyNumberFormat="1" applyFont="1" applyFill="1" applyBorder="1" applyProtection="1">
      <protection hidden="1"/>
    </xf>
    <xf numFmtId="0" fontId="1" fillId="5" borderId="165" xfId="0" applyFont="1" applyFill="1" applyBorder="1" applyProtection="1">
      <protection hidden="1"/>
    </xf>
    <xf numFmtId="0" fontId="30" fillId="18" borderId="25" xfId="0" applyFont="1" applyFill="1" applyBorder="1" applyAlignment="1">
      <alignment horizontal="center"/>
    </xf>
    <xf numFmtId="0" fontId="30" fillId="18" borderId="51" xfId="0" applyFont="1" applyFill="1" applyBorder="1" applyAlignment="1">
      <alignment horizontal="center"/>
    </xf>
    <xf numFmtId="0" fontId="30" fillId="18" borderId="52" xfId="0" applyFont="1" applyFill="1" applyBorder="1" applyAlignment="1">
      <alignment horizontal="center"/>
    </xf>
    <xf numFmtId="0" fontId="30" fillId="18" borderId="53" xfId="0" applyFont="1" applyFill="1" applyBorder="1" applyAlignment="1">
      <alignment horizontal="center"/>
    </xf>
    <xf numFmtId="0" fontId="30" fillId="18" borderId="69" xfId="0" applyFont="1" applyFill="1" applyBorder="1" applyAlignment="1">
      <alignment horizontal="center"/>
    </xf>
    <xf numFmtId="0" fontId="30" fillId="18" borderId="150" xfId="0" applyFont="1" applyFill="1" applyBorder="1" applyAlignment="1">
      <alignment horizontal="center"/>
    </xf>
    <xf numFmtId="0" fontId="30" fillId="18" borderId="109" xfId="0" applyFont="1" applyFill="1" applyBorder="1" applyAlignment="1">
      <alignment horizontal="center"/>
    </xf>
    <xf numFmtId="0" fontId="30" fillId="18" borderId="110" xfId="0" applyFont="1" applyFill="1" applyBorder="1" applyAlignment="1">
      <alignment horizontal="center"/>
    </xf>
    <xf numFmtId="0" fontId="30" fillId="18" borderId="147" xfId="0" applyFont="1" applyFill="1" applyBorder="1" applyAlignment="1">
      <alignment horizontal="center"/>
    </xf>
    <xf numFmtId="3" fontId="13" fillId="12" borderId="55" xfId="0" applyNumberFormat="1" applyFont="1" applyFill="1" applyBorder="1" applyProtection="1">
      <protection hidden="1"/>
    </xf>
    <xf numFmtId="3" fontId="13" fillId="2" borderId="68" xfId="0" applyNumberFormat="1" applyFont="1" applyFill="1" applyBorder="1" applyProtection="1">
      <protection locked="0"/>
    </xf>
    <xf numFmtId="3" fontId="13" fillId="2" borderId="50" xfId="0" applyNumberFormat="1" applyFont="1" applyFill="1" applyBorder="1" applyProtection="1">
      <protection locked="0"/>
    </xf>
    <xf numFmtId="3" fontId="13" fillId="2" borderId="50" xfId="0" quotePrefix="1" applyNumberFormat="1" applyFont="1" applyFill="1" applyBorder="1" applyProtection="1">
      <protection locked="0"/>
    </xf>
    <xf numFmtId="3" fontId="13" fillId="2" borderId="55" xfId="0" applyNumberFormat="1" applyFont="1" applyFill="1" applyBorder="1" applyProtection="1">
      <protection locked="0"/>
    </xf>
    <xf numFmtId="3" fontId="13" fillId="12" borderId="58" xfId="0" applyNumberFormat="1" applyFont="1" applyFill="1" applyBorder="1" applyProtection="1">
      <protection hidden="1"/>
    </xf>
    <xf numFmtId="3" fontId="13" fillId="2" borderId="70" xfId="0" applyNumberFormat="1" applyFont="1" applyFill="1" applyBorder="1" applyProtection="1">
      <protection locked="0"/>
    </xf>
    <xf numFmtId="3" fontId="13" fillId="2" borderId="57" xfId="0" applyNumberFormat="1" applyFont="1" applyFill="1" applyBorder="1" applyProtection="1">
      <protection locked="0"/>
    </xf>
    <xf numFmtId="3" fontId="13" fillId="2" borderId="58" xfId="0" applyNumberFormat="1" applyFont="1" applyFill="1" applyBorder="1" applyProtection="1">
      <protection locked="0"/>
    </xf>
    <xf numFmtId="3" fontId="1" fillId="7" borderId="64" xfId="0" applyNumberFormat="1" applyFont="1" applyFill="1" applyBorder="1" applyProtection="1">
      <protection hidden="1"/>
    </xf>
    <xf numFmtId="3" fontId="1" fillId="7" borderId="65" xfId="0" applyNumberFormat="1" applyFont="1" applyFill="1" applyBorder="1" applyProtection="1">
      <protection hidden="1"/>
    </xf>
    <xf numFmtId="3" fontId="1" fillId="7" borderId="57" xfId="0" applyNumberFormat="1" applyFont="1" applyFill="1" applyBorder="1" applyProtection="1">
      <protection hidden="1"/>
    </xf>
    <xf numFmtId="3" fontId="1" fillId="7" borderId="58" xfId="0" applyNumberFormat="1" applyFont="1" applyFill="1" applyBorder="1" applyProtection="1">
      <protection hidden="1"/>
    </xf>
    <xf numFmtId="3" fontId="1" fillId="2" borderId="71" xfId="0" applyNumberFormat="1" applyFont="1" applyFill="1" applyBorder="1" applyProtection="1">
      <protection locked="0"/>
    </xf>
    <xf numFmtId="3" fontId="1" fillId="2" borderId="64" xfId="0" applyNumberFormat="1" applyFont="1" applyFill="1" applyBorder="1" applyProtection="1">
      <protection locked="0"/>
    </xf>
    <xf numFmtId="3" fontId="1" fillId="2" borderId="65" xfId="0" applyNumberFormat="1" applyFont="1" applyFill="1" applyBorder="1" applyProtection="1">
      <protection locked="0"/>
    </xf>
    <xf numFmtId="3" fontId="1" fillId="2" borderId="70" xfId="0" applyNumberFormat="1" applyFont="1" applyFill="1" applyBorder="1" applyProtection="1">
      <protection locked="0"/>
    </xf>
    <xf numFmtId="3" fontId="1" fillId="2" borderId="57" xfId="0" applyNumberFormat="1" applyFont="1" applyFill="1" applyBorder="1" applyProtection="1">
      <protection locked="0"/>
    </xf>
    <xf numFmtId="3" fontId="1" fillId="2" borderId="58" xfId="0" applyNumberFormat="1" applyFont="1" applyFill="1" applyBorder="1" applyProtection="1">
      <protection locked="0"/>
    </xf>
    <xf numFmtId="3" fontId="1" fillId="12" borderId="73" xfId="0" applyNumberFormat="1" applyFont="1" applyFill="1" applyBorder="1" applyAlignment="1" applyProtection="1">
      <alignment horizontal="right"/>
      <protection hidden="1"/>
    </xf>
    <xf numFmtId="3" fontId="1" fillId="12" borderId="80" xfId="0" applyNumberFormat="1" applyFont="1" applyFill="1" applyBorder="1" applyAlignment="1" applyProtection="1">
      <alignment horizontal="right"/>
      <protection hidden="1"/>
    </xf>
    <xf numFmtId="3" fontId="3" fillId="12" borderId="61" xfId="0" applyNumberFormat="1" applyFont="1" applyFill="1" applyBorder="1" applyProtection="1">
      <protection hidden="1"/>
    </xf>
    <xf numFmtId="3" fontId="3" fillId="12" borderId="62" xfId="0" applyNumberFormat="1" applyFont="1" applyFill="1" applyBorder="1" applyProtection="1">
      <protection hidden="1"/>
    </xf>
    <xf numFmtId="1" fontId="36" fillId="16" borderId="32" xfId="0" applyNumberFormat="1" applyFont="1" applyFill="1" applyBorder="1" applyAlignment="1" applyProtection="1">
      <alignment horizontal="center" vertical="center"/>
      <protection hidden="1"/>
    </xf>
    <xf numFmtId="1" fontId="36" fillId="14" borderId="34" xfId="0" applyNumberFormat="1" applyFont="1" applyFill="1" applyBorder="1" applyAlignment="1" applyProtection="1">
      <alignment horizontal="center" vertical="center"/>
      <protection hidden="1"/>
    </xf>
    <xf numFmtId="1" fontId="36" fillId="14" borderId="32" xfId="0" applyNumberFormat="1" applyFont="1" applyFill="1" applyBorder="1" applyAlignment="1" applyProtection="1">
      <alignment horizontal="center" vertical="center"/>
      <protection hidden="1"/>
    </xf>
    <xf numFmtId="1" fontId="30" fillId="14" borderId="34" xfId="0" applyNumberFormat="1" applyFont="1" applyFill="1" applyBorder="1" applyAlignment="1" applyProtection="1">
      <alignment horizontal="center" vertical="center"/>
      <protection hidden="1"/>
    </xf>
    <xf numFmtId="1" fontId="36" fillId="14" borderId="33" xfId="0" applyNumberFormat="1" applyFont="1" applyFill="1" applyBorder="1" applyAlignment="1" applyProtection="1">
      <alignment horizontal="center" vertical="center"/>
      <protection hidden="1"/>
    </xf>
    <xf numFmtId="1" fontId="30" fillId="16" borderId="34" xfId="0" applyNumberFormat="1" applyFont="1" applyFill="1" applyBorder="1" applyAlignment="1" applyProtection="1">
      <alignment horizontal="center" vertical="center"/>
      <protection hidden="1"/>
    </xf>
    <xf numFmtId="1" fontId="36" fillId="16" borderId="33" xfId="0" applyNumberFormat="1" applyFont="1" applyFill="1" applyBorder="1" applyAlignment="1" applyProtection="1">
      <alignment horizontal="center" vertical="center"/>
      <protection hidden="1"/>
    </xf>
    <xf numFmtId="0" fontId="45" fillId="2" borderId="10" xfId="0" applyFont="1" applyFill="1" applyBorder="1" applyProtection="1">
      <protection hidden="1"/>
    </xf>
    <xf numFmtId="0" fontId="45" fillId="2" borderId="17" xfId="0" applyFont="1" applyFill="1" applyBorder="1" applyProtection="1">
      <protection hidden="1"/>
    </xf>
    <xf numFmtId="0" fontId="45" fillId="2" borderId="15" xfId="0" applyFont="1" applyFill="1" applyBorder="1" applyProtection="1">
      <protection hidden="1"/>
    </xf>
    <xf numFmtId="0" fontId="45" fillId="2" borderId="11" xfId="0" applyFont="1" applyFill="1" applyBorder="1" applyProtection="1">
      <protection hidden="1"/>
    </xf>
    <xf numFmtId="49" fontId="1" fillId="0" borderId="10" xfId="0" applyNumberFormat="1" applyFont="1" applyFill="1" applyBorder="1" applyProtection="1">
      <protection locked="0"/>
    </xf>
    <xf numFmtId="0" fontId="32" fillId="18" borderId="159" xfId="0" applyFont="1" applyFill="1" applyBorder="1" applyAlignment="1" applyProtection="1">
      <alignment horizontal="center" vertical="center"/>
      <protection hidden="1"/>
    </xf>
    <xf numFmtId="0" fontId="32" fillId="18" borderId="109" xfId="0" applyFont="1" applyFill="1" applyBorder="1" applyAlignment="1" applyProtection="1">
      <alignment horizontal="center" vertical="center"/>
      <protection hidden="1"/>
    </xf>
    <xf numFmtId="0" fontId="32" fillId="18" borderId="110" xfId="0" applyFont="1" applyFill="1" applyBorder="1" applyAlignment="1" applyProtection="1">
      <alignment horizontal="center" vertical="center"/>
      <protection hidden="1"/>
    </xf>
    <xf numFmtId="0" fontId="1" fillId="12" borderId="10" xfId="0" applyFont="1" applyFill="1" applyBorder="1" applyAlignment="1" applyProtection="1">
      <alignment horizontal="right"/>
      <protection hidden="1"/>
    </xf>
    <xf numFmtId="3" fontId="1" fillId="12" borderId="127" xfId="0" applyNumberFormat="1" applyFont="1" applyFill="1" applyBorder="1" applyProtection="1">
      <protection hidden="1"/>
    </xf>
    <xf numFmtId="3" fontId="1" fillId="12" borderId="40" xfId="0" applyNumberFormat="1" applyFont="1" applyFill="1" applyBorder="1" applyProtection="1">
      <protection hidden="1"/>
    </xf>
    <xf numFmtId="0" fontId="1" fillId="12" borderId="12" xfId="0" applyFont="1" applyFill="1" applyBorder="1" applyAlignment="1" applyProtection="1">
      <alignment horizontal="right"/>
      <protection hidden="1"/>
    </xf>
    <xf numFmtId="3" fontId="1" fillId="12" borderId="9" xfId="0" applyNumberFormat="1" applyFont="1" applyFill="1" applyBorder="1" applyProtection="1">
      <protection hidden="1"/>
    </xf>
    <xf numFmtId="3" fontId="1" fillId="12" borderId="91" xfId="0" applyNumberFormat="1" applyFont="1" applyFill="1" applyBorder="1" applyProtection="1">
      <protection hidden="1"/>
    </xf>
    <xf numFmtId="3" fontId="1" fillId="12" borderId="128" xfId="0" applyNumberFormat="1" applyFont="1" applyFill="1" applyBorder="1" applyProtection="1">
      <protection hidden="1"/>
    </xf>
    <xf numFmtId="3" fontId="1" fillId="12" borderId="133" xfId="0" applyNumberFormat="1" applyFont="1" applyFill="1" applyBorder="1" applyProtection="1">
      <protection hidden="1"/>
    </xf>
    <xf numFmtId="3" fontId="1" fillId="12" borderId="13" xfId="0" applyNumberFormat="1" applyFont="1" applyFill="1" applyBorder="1" applyProtection="1">
      <protection hidden="1"/>
    </xf>
    <xf numFmtId="0" fontId="1" fillId="12" borderId="47" xfId="0" applyFont="1" applyFill="1" applyBorder="1" applyAlignment="1" applyProtection="1">
      <alignment horizontal="right"/>
      <protection hidden="1"/>
    </xf>
    <xf numFmtId="3" fontId="1" fillId="12" borderId="166" xfId="0" applyNumberFormat="1" applyFont="1" applyFill="1" applyBorder="1" applyProtection="1">
      <protection hidden="1"/>
    </xf>
    <xf numFmtId="166" fontId="1" fillId="12" borderId="122" xfId="0" applyNumberFormat="1" applyFont="1" applyFill="1" applyBorder="1" applyProtection="1">
      <protection hidden="1"/>
    </xf>
    <xf numFmtId="166" fontId="1" fillId="12" borderId="1" xfId="0" applyNumberFormat="1" applyFont="1" applyFill="1" applyBorder="1" applyProtection="1">
      <protection hidden="1"/>
    </xf>
    <xf numFmtId="166" fontId="1" fillId="12" borderId="11" xfId="0" applyNumberFormat="1" applyFont="1" applyFill="1" applyBorder="1" applyProtection="1">
      <protection hidden="1"/>
    </xf>
    <xf numFmtId="3" fontId="1" fillId="12" borderId="141" xfId="0" applyNumberFormat="1" applyFont="1" applyFill="1" applyBorder="1" applyProtection="1">
      <protection hidden="1"/>
    </xf>
    <xf numFmtId="3" fontId="1" fillId="12" borderId="140" xfId="0" applyNumberFormat="1" applyFont="1" applyFill="1" applyBorder="1" applyProtection="1">
      <protection hidden="1"/>
    </xf>
    <xf numFmtId="3" fontId="1" fillId="12" borderId="142" xfId="0" applyNumberFormat="1" applyFont="1" applyFill="1" applyBorder="1" applyProtection="1">
      <protection hidden="1"/>
    </xf>
    <xf numFmtId="0" fontId="1" fillId="12" borderId="139" xfId="0" applyFont="1" applyFill="1" applyBorder="1" applyAlignment="1" applyProtection="1">
      <alignment horizontal="right"/>
      <protection hidden="1"/>
    </xf>
    <xf numFmtId="0" fontId="2" fillId="20" borderId="75" xfId="0" applyFont="1" applyFill="1" applyBorder="1" applyAlignment="1">
      <alignment horizontal="center"/>
    </xf>
    <xf numFmtId="0" fontId="2" fillId="20" borderId="76" xfId="0" applyFont="1" applyFill="1" applyBorder="1" applyAlignment="1">
      <alignment horizontal="center"/>
    </xf>
    <xf numFmtId="0" fontId="2" fillId="20" borderId="78" xfId="0" applyFont="1" applyFill="1" applyBorder="1" applyAlignment="1">
      <alignment horizontal="center"/>
    </xf>
    <xf numFmtId="0" fontId="2" fillId="20" borderId="77" xfId="0" applyFont="1" applyFill="1" applyBorder="1" applyAlignment="1">
      <alignment horizontal="center"/>
    </xf>
    <xf numFmtId="0" fontId="26" fillId="0" borderId="0" xfId="0" applyFont="1" applyAlignment="1">
      <alignment horizontal="justify" vertical="top" wrapText="1" shrinkToFit="1" readingOrder="2"/>
    </xf>
    <xf numFmtId="0" fontId="26" fillId="0" borderId="0" xfId="0" applyFont="1"/>
    <xf numFmtId="0" fontId="26" fillId="0" borderId="0" xfId="0" applyFont="1" applyBorder="1" applyAlignment="1">
      <alignment horizontal="justify" wrapText="1"/>
    </xf>
    <xf numFmtId="165" fontId="1" fillId="12" borderId="22" xfId="0" applyNumberFormat="1" applyFont="1" applyFill="1" applyBorder="1" applyProtection="1">
      <protection hidden="1"/>
    </xf>
    <xf numFmtId="165" fontId="1" fillId="12" borderId="40" xfId="0" applyNumberFormat="1" applyFont="1" applyFill="1" applyBorder="1" applyProtection="1">
      <protection hidden="1"/>
    </xf>
    <xf numFmtId="0" fontId="7" fillId="0" borderId="0" xfId="0" applyFont="1" applyAlignment="1">
      <alignment horizontal="justify" vertical="top" wrapText="1" shrinkToFit="1" readingOrder="2"/>
    </xf>
    <xf numFmtId="166" fontId="7" fillId="12" borderId="1" xfId="0" applyNumberFormat="1" applyFont="1" applyFill="1" applyBorder="1"/>
    <xf numFmtId="166" fontId="7" fillId="12" borderId="3" xfId="0" applyNumberFormat="1" applyFont="1" applyFill="1" applyBorder="1"/>
    <xf numFmtId="166" fontId="7" fillId="12" borderId="9" xfId="0" applyNumberFormat="1" applyFont="1" applyFill="1" applyBorder="1"/>
    <xf numFmtId="166" fontId="7" fillId="12" borderId="5" xfId="0" applyNumberFormat="1" applyFont="1" applyFill="1" applyBorder="1"/>
    <xf numFmtId="166" fontId="1" fillId="12" borderId="1" xfId="0" applyNumberFormat="1" applyFont="1" applyFill="1" applyBorder="1"/>
    <xf numFmtId="166" fontId="1" fillId="12" borderId="1" xfId="0" applyNumberFormat="1" applyFont="1" applyFill="1" applyBorder="1" applyAlignment="1">
      <alignment horizontal="right"/>
    </xf>
    <xf numFmtId="166" fontId="1" fillId="12" borderId="3" xfId="0" applyNumberFormat="1" applyFont="1" applyFill="1" applyBorder="1" applyAlignment="1">
      <alignment horizontal="right"/>
    </xf>
    <xf numFmtId="166" fontId="1" fillId="12" borderId="9" xfId="0" applyNumberFormat="1" applyFont="1" applyFill="1" applyBorder="1"/>
    <xf numFmtId="166" fontId="1" fillId="12" borderId="9" xfId="0" applyNumberFormat="1" applyFont="1" applyFill="1" applyBorder="1" applyAlignment="1">
      <alignment horizontal="right"/>
    </xf>
    <xf numFmtId="166" fontId="1" fillId="12" borderId="5" xfId="0" applyNumberFormat="1" applyFont="1" applyFill="1" applyBorder="1" applyAlignment="1">
      <alignment horizontal="right"/>
    </xf>
    <xf numFmtId="0" fontId="13" fillId="12" borderId="54" xfId="0" applyFont="1" applyFill="1" applyBorder="1" applyProtection="1">
      <protection hidden="1"/>
    </xf>
    <xf numFmtId="0" fontId="23" fillId="12" borderId="54" xfId="0" applyFont="1" applyFill="1" applyBorder="1" applyProtection="1">
      <protection hidden="1"/>
    </xf>
    <xf numFmtId="0" fontId="13" fillId="12" borderId="63" xfId="0" applyFont="1" applyFill="1" applyBorder="1" applyProtection="1">
      <protection hidden="1"/>
    </xf>
    <xf numFmtId="0" fontId="13" fillId="12" borderId="56" xfId="0" applyFont="1" applyFill="1" applyBorder="1" applyProtection="1">
      <protection hidden="1"/>
    </xf>
    <xf numFmtId="0" fontId="28" fillId="0" borderId="0" xfId="0" applyFont="1" applyBorder="1"/>
    <xf numFmtId="3" fontId="28" fillId="0" borderId="0" xfId="0" applyNumberFormat="1" applyFont="1" applyBorder="1" applyAlignment="1">
      <alignment horizontal="center"/>
    </xf>
    <xf numFmtId="0" fontId="14" fillId="5" borderId="0" xfId="0" applyFont="1" applyFill="1" applyProtection="1">
      <protection hidden="1"/>
    </xf>
    <xf numFmtId="0" fontId="1" fillId="2" borderId="10" xfId="0" applyFont="1" applyFill="1" applyBorder="1" applyAlignment="1" applyProtection="1">
      <alignment horizontal="right"/>
      <protection locked="0"/>
    </xf>
    <xf numFmtId="0" fontId="1" fillId="2" borderId="23" xfId="0" applyFont="1" applyFill="1" applyBorder="1" applyAlignment="1" applyProtection="1">
      <alignment horizontal="right"/>
      <protection locked="0"/>
    </xf>
    <xf numFmtId="0" fontId="1" fillId="2" borderId="12" xfId="0" applyFont="1" applyFill="1" applyBorder="1" applyAlignment="1" applyProtection="1">
      <alignment horizontal="right"/>
      <protection locked="0"/>
    </xf>
    <xf numFmtId="0" fontId="1" fillId="11" borderId="10" xfId="0" applyFont="1" applyFill="1" applyBorder="1" applyAlignment="1" applyProtection="1">
      <alignment horizontal="right"/>
      <protection locked="0"/>
    </xf>
    <xf numFmtId="3" fontId="19" fillId="2" borderId="40" xfId="0" applyNumberFormat="1" applyFont="1" applyFill="1" applyBorder="1" applyProtection="1">
      <protection locked="0"/>
    </xf>
    <xf numFmtId="3" fontId="19" fillId="2" borderId="41" xfId="0" applyNumberFormat="1" applyFont="1" applyFill="1" applyBorder="1" applyProtection="1">
      <protection locked="0"/>
    </xf>
    <xf numFmtId="0" fontId="47" fillId="2" borderId="39" xfId="0" applyFont="1" applyFill="1" applyBorder="1" applyProtection="1">
      <protection locked="0"/>
    </xf>
    <xf numFmtId="0" fontId="47" fillId="2" borderId="40" xfId="0" applyFont="1" applyFill="1" applyBorder="1" applyProtection="1">
      <protection locked="0"/>
    </xf>
    <xf numFmtId="0" fontId="47" fillId="2" borderId="92" xfId="0" applyFont="1" applyFill="1" applyBorder="1" applyProtection="1">
      <protection locked="0"/>
    </xf>
    <xf numFmtId="0" fontId="47" fillId="2" borderId="91" xfId="0" applyFont="1" applyFill="1" applyBorder="1" applyProtection="1">
      <protection locked="0"/>
    </xf>
    <xf numFmtId="0" fontId="3" fillId="11" borderId="15" xfId="0" applyFont="1" applyFill="1" applyBorder="1" applyAlignment="1" applyProtection="1">
      <alignment horizontal="right"/>
      <protection hidden="1"/>
    </xf>
    <xf numFmtId="3" fontId="9" fillId="12" borderId="36" xfId="0" applyNumberFormat="1" applyFont="1" applyFill="1" applyBorder="1" applyProtection="1">
      <protection locked="0"/>
    </xf>
    <xf numFmtId="3" fontId="9" fillId="12" borderId="1" xfId="0" applyNumberFormat="1" applyFont="1" applyFill="1" applyBorder="1" applyProtection="1">
      <protection locked="0"/>
    </xf>
    <xf numFmtId="3" fontId="9" fillId="12" borderId="11" xfId="0" applyNumberFormat="1" applyFont="1" applyFill="1" applyBorder="1" applyProtection="1">
      <protection locked="0"/>
    </xf>
    <xf numFmtId="3" fontId="1" fillId="2" borderId="129" xfId="0" applyNumberFormat="1" applyFont="1" applyFill="1" applyBorder="1" applyProtection="1">
      <protection locked="0"/>
    </xf>
    <xf numFmtId="3" fontId="3" fillId="2" borderId="130" xfId="0" applyNumberFormat="1" applyFont="1" applyFill="1" applyBorder="1" applyProtection="1">
      <protection locked="0"/>
    </xf>
    <xf numFmtId="0" fontId="3" fillId="11" borderId="149" xfId="0" applyFont="1" applyFill="1" applyBorder="1" applyAlignment="1" applyProtection="1">
      <alignment horizontal="right"/>
      <protection hidden="1"/>
    </xf>
    <xf numFmtId="3" fontId="1" fillId="12" borderId="35" xfId="0" applyNumberFormat="1" applyFont="1" applyFill="1" applyBorder="1" applyProtection="1">
      <protection hidden="1"/>
    </xf>
    <xf numFmtId="3" fontId="1" fillId="2" borderId="42" xfId="0" applyNumberFormat="1" applyFont="1" applyFill="1" applyBorder="1" applyProtection="1">
      <protection locked="0"/>
    </xf>
    <xf numFmtId="3" fontId="1" fillId="2" borderId="9" xfId="0" applyNumberFormat="1" applyFont="1" applyFill="1" applyBorder="1" applyProtection="1">
      <protection locked="0"/>
    </xf>
    <xf numFmtId="3" fontId="1" fillId="2" borderId="13" xfId="0" applyNumberFormat="1" applyFont="1" applyFill="1" applyBorder="1" applyProtection="1">
      <protection locked="0"/>
    </xf>
    <xf numFmtId="0" fontId="1" fillId="2" borderId="148" xfId="0" applyFont="1" applyFill="1" applyBorder="1" applyAlignment="1">
      <alignment horizontal="right"/>
    </xf>
    <xf numFmtId="3" fontId="1" fillId="2" borderId="35" xfId="0" applyNumberFormat="1" applyFont="1" applyFill="1" applyBorder="1" applyProtection="1">
      <protection locked="0"/>
    </xf>
    <xf numFmtId="3" fontId="1" fillId="2" borderId="22" xfId="0" applyNumberFormat="1" applyFont="1" applyFill="1" applyBorder="1" applyProtection="1">
      <protection locked="0"/>
    </xf>
    <xf numFmtId="3" fontId="1" fillId="2" borderId="24" xfId="0" applyNumberFormat="1" applyFont="1" applyFill="1" applyBorder="1" applyProtection="1">
      <protection locked="0"/>
    </xf>
    <xf numFmtId="164" fontId="1" fillId="2" borderId="37" xfId="1" applyNumberFormat="1" applyFont="1" applyFill="1" applyBorder="1" applyProtection="1">
      <protection locked="0"/>
    </xf>
    <xf numFmtId="164" fontId="1" fillId="2" borderId="16" xfId="1" applyNumberFormat="1" applyFont="1" applyFill="1" applyBorder="1" applyProtection="1">
      <protection locked="0"/>
    </xf>
    <xf numFmtId="164" fontId="1" fillId="2" borderId="17" xfId="1" applyNumberFormat="1" applyFont="1" applyFill="1" applyBorder="1" applyProtection="1">
      <protection locked="0"/>
    </xf>
    <xf numFmtId="3" fontId="1" fillId="12" borderId="42" xfId="0" applyNumberFormat="1" applyFont="1" applyFill="1" applyBorder="1" applyProtection="1">
      <protection hidden="1"/>
    </xf>
    <xf numFmtId="3" fontId="3" fillId="12" borderId="72" xfId="0" applyNumberFormat="1" applyFont="1" applyFill="1" applyBorder="1" applyProtection="1">
      <protection hidden="1"/>
    </xf>
    <xf numFmtId="0" fontId="26" fillId="0" borderId="14" xfId="0" applyFont="1" applyBorder="1" applyAlignment="1">
      <alignment vertical="top" wrapText="1" shrinkToFit="1" readingOrder="2"/>
    </xf>
    <xf numFmtId="0" fontId="26" fillId="0" borderId="0" xfId="0" applyFont="1" applyAlignment="1">
      <alignment vertical="top" wrapText="1" shrinkToFit="1" readingOrder="2"/>
    </xf>
    <xf numFmtId="0" fontId="44" fillId="7" borderId="0" xfId="0" applyFont="1" applyFill="1" applyBorder="1" applyAlignment="1" applyProtection="1">
      <alignment vertical="center"/>
      <protection hidden="1"/>
    </xf>
    <xf numFmtId="0" fontId="44" fillId="7" borderId="18" xfId="0" applyFont="1" applyFill="1" applyBorder="1" applyAlignment="1" applyProtection="1">
      <alignment vertical="center"/>
      <protection hidden="1"/>
    </xf>
    <xf numFmtId="0" fontId="47" fillId="5" borderId="0" xfId="0" applyFont="1" applyFill="1" applyProtection="1">
      <protection hidden="1"/>
    </xf>
    <xf numFmtId="0" fontId="51" fillId="5" borderId="0" xfId="0" applyFont="1" applyFill="1" applyProtection="1">
      <protection hidden="1"/>
    </xf>
    <xf numFmtId="3" fontId="3" fillId="12" borderId="37" xfId="0" applyNumberFormat="1" applyFont="1" applyFill="1" applyBorder="1" applyProtection="1">
      <protection hidden="1"/>
    </xf>
    <xf numFmtId="3" fontId="3" fillId="12" borderId="16" xfId="0" applyNumberFormat="1" applyFont="1" applyFill="1" applyBorder="1" applyProtection="1">
      <protection hidden="1"/>
    </xf>
    <xf numFmtId="3" fontId="16" fillId="12" borderId="17" xfId="0" applyNumberFormat="1" applyFont="1" applyFill="1" applyBorder="1" applyProtection="1">
      <protection hidden="1"/>
    </xf>
    <xf numFmtId="3" fontId="3" fillId="12" borderId="17" xfId="0" applyNumberFormat="1" applyFont="1" applyFill="1" applyBorder="1" applyProtection="1">
      <protection hidden="1"/>
    </xf>
    <xf numFmtId="0" fontId="3" fillId="11" borderId="54" xfId="0" applyFont="1" applyFill="1" applyBorder="1" applyAlignment="1">
      <alignment horizontal="right"/>
    </xf>
    <xf numFmtId="0" fontId="3" fillId="11" borderId="51" xfId="0" applyFont="1" applyFill="1" applyBorder="1" applyAlignment="1">
      <alignment horizontal="right"/>
    </xf>
    <xf numFmtId="0" fontId="2" fillId="11" borderId="79" xfId="0" applyFont="1" applyFill="1" applyBorder="1" applyAlignment="1">
      <alignment horizontal="right"/>
    </xf>
    <xf numFmtId="0" fontId="3" fillId="11" borderId="60" xfId="0" applyFont="1" applyFill="1" applyBorder="1" applyAlignment="1">
      <alignment horizontal="right"/>
    </xf>
    <xf numFmtId="0" fontId="13" fillId="11" borderId="56" xfId="0" applyFont="1" applyFill="1" applyBorder="1" applyAlignment="1">
      <alignment horizontal="right"/>
    </xf>
    <xf numFmtId="0" fontId="13" fillId="11" borderId="63" xfId="0" applyFont="1" applyFill="1" applyBorder="1" applyAlignment="1">
      <alignment horizontal="right"/>
    </xf>
    <xf numFmtId="3" fontId="7" fillId="12" borderId="174" xfId="0" applyNumberFormat="1" applyFont="1" applyFill="1" applyBorder="1" applyAlignment="1" applyProtection="1">
      <alignment wrapText="1"/>
      <protection hidden="1"/>
    </xf>
    <xf numFmtId="0" fontId="30" fillId="14" borderId="175" xfId="0" applyFont="1" applyFill="1" applyBorder="1" applyAlignment="1" applyProtection="1">
      <alignment vertical="center" wrapText="1"/>
      <protection hidden="1"/>
    </xf>
    <xf numFmtId="0" fontId="54" fillId="2" borderId="10" xfId="0" applyFont="1" applyFill="1" applyBorder="1" applyAlignment="1" applyProtection="1">
      <alignment horizontal="right"/>
    </xf>
    <xf numFmtId="0" fontId="54" fillId="11" borderId="10" xfId="0" applyFont="1" applyFill="1" applyBorder="1" applyAlignment="1" applyProtection="1">
      <alignment horizontal="right"/>
      <protection hidden="1"/>
    </xf>
    <xf numFmtId="0" fontId="54" fillId="2" borderId="10" xfId="0" applyFont="1" applyFill="1" applyBorder="1" applyAlignment="1" applyProtection="1">
      <alignment horizontal="right"/>
      <protection hidden="1"/>
    </xf>
    <xf numFmtId="3" fontId="55" fillId="2" borderId="40" xfId="0" applyNumberFormat="1" applyFont="1" applyFill="1" applyBorder="1" applyProtection="1"/>
    <xf numFmtId="3" fontId="54" fillId="2" borderId="129" xfId="0" applyNumberFormat="1" applyFont="1" applyFill="1" applyBorder="1" applyProtection="1">
      <protection hidden="1"/>
    </xf>
    <xf numFmtId="0" fontId="1" fillId="2" borderId="40" xfId="0" applyFont="1" applyFill="1" applyBorder="1" applyProtection="1">
      <protection locked="0" hidden="1"/>
    </xf>
    <xf numFmtId="0" fontId="1" fillId="12" borderId="41" xfId="0" applyFont="1" applyFill="1" applyBorder="1" applyProtection="1">
      <protection locked="0" hidden="1"/>
    </xf>
    <xf numFmtId="0" fontId="1" fillId="12" borderId="37" xfId="0" applyFont="1" applyFill="1" applyBorder="1" applyProtection="1">
      <protection locked="0"/>
    </xf>
    <xf numFmtId="0" fontId="1" fillId="2" borderId="36" xfId="0" applyFont="1" applyFill="1" applyBorder="1" applyProtection="1">
      <protection locked="0"/>
    </xf>
    <xf numFmtId="0" fontId="32" fillId="18" borderId="33" xfId="0" applyFont="1" applyFill="1" applyBorder="1" applyAlignment="1" applyProtection="1">
      <alignment horizontal="center" vertical="center"/>
      <protection hidden="1"/>
    </xf>
    <xf numFmtId="0" fontId="7" fillId="7" borderId="0" xfId="0" applyFont="1" applyFill="1" applyBorder="1"/>
    <xf numFmtId="0" fontId="7" fillId="4" borderId="0" xfId="0" applyFont="1" applyFill="1" applyBorder="1"/>
    <xf numFmtId="0" fontId="36" fillId="16" borderId="81" xfId="0" applyFont="1" applyFill="1" applyBorder="1" applyAlignment="1">
      <alignment horizontal="right" wrapText="1"/>
    </xf>
    <xf numFmtId="0" fontId="53" fillId="7" borderId="116" xfId="0" applyFont="1" applyFill="1" applyBorder="1"/>
    <xf numFmtId="0" fontId="7" fillId="7" borderId="116" xfId="0" applyFont="1" applyFill="1" applyBorder="1"/>
    <xf numFmtId="0" fontId="7" fillId="4" borderId="116" xfId="0" applyFont="1" applyFill="1" applyBorder="1"/>
    <xf numFmtId="0" fontId="7" fillId="4" borderId="131" xfId="0" applyFont="1" applyFill="1" applyBorder="1"/>
    <xf numFmtId="0" fontId="7" fillId="7" borderId="14" xfId="0" applyFont="1" applyFill="1" applyBorder="1"/>
    <xf numFmtId="0" fontId="7" fillId="4" borderId="86" xfId="0" applyFont="1" applyFill="1" applyBorder="1"/>
    <xf numFmtId="0" fontId="7" fillId="4" borderId="14" xfId="0" applyFont="1" applyFill="1" applyBorder="1"/>
    <xf numFmtId="0" fontId="54" fillId="2" borderId="40" xfId="0" applyFont="1" applyFill="1" applyBorder="1" applyProtection="1">
      <protection hidden="1"/>
    </xf>
    <xf numFmtId="0" fontId="1" fillId="2" borderId="23" xfId="0" applyFont="1" applyFill="1" applyBorder="1" applyAlignment="1" applyProtection="1">
      <alignment horizontal="right" vertical="center"/>
      <protection locked="0"/>
    </xf>
    <xf numFmtId="0" fontId="1" fillId="2" borderId="15" xfId="0" applyFont="1" applyFill="1" applyBorder="1" applyAlignment="1" applyProtection="1">
      <alignment horizontal="right"/>
      <protection locked="0"/>
    </xf>
    <xf numFmtId="3" fontId="13" fillId="2" borderId="37" xfId="0" applyNumberFormat="1" applyFont="1" applyFill="1" applyBorder="1" applyProtection="1">
      <protection locked="0"/>
    </xf>
    <xf numFmtId="3" fontId="13" fillId="2" borderId="16" xfId="0" applyNumberFormat="1" applyFont="1" applyFill="1" applyBorder="1" applyProtection="1">
      <protection locked="0"/>
    </xf>
    <xf numFmtId="3" fontId="13" fillId="2" borderId="17" xfId="0" applyNumberFormat="1" applyFont="1" applyFill="1" applyBorder="1" applyProtection="1">
      <protection locked="0"/>
    </xf>
    <xf numFmtId="0" fontId="47" fillId="2" borderId="39" xfId="0" applyFont="1" applyFill="1" applyBorder="1" applyAlignment="1" applyProtection="1">
      <alignment vertical="center"/>
      <protection locked="0" hidden="1"/>
    </xf>
    <xf numFmtId="0" fontId="47" fillId="2" borderId="40" xfId="0" applyFont="1" applyFill="1" applyBorder="1" applyProtection="1">
      <protection locked="0" hidden="1"/>
    </xf>
    <xf numFmtId="0" fontId="47" fillId="2" borderId="41" xfId="0" applyFont="1" applyFill="1" applyBorder="1" applyProtection="1">
      <protection locked="0" hidden="1"/>
    </xf>
    <xf numFmtId="0" fontId="59" fillId="4" borderId="0" xfId="0" applyFont="1" applyFill="1" applyProtection="1">
      <protection hidden="1"/>
    </xf>
    <xf numFmtId="3" fontId="1" fillId="12" borderId="181" xfId="0" applyNumberFormat="1" applyFont="1" applyFill="1" applyBorder="1" applyProtection="1">
      <protection hidden="1"/>
    </xf>
    <xf numFmtId="3" fontId="1" fillId="12" borderId="103" xfId="0" applyNumberFormat="1" applyFont="1" applyFill="1" applyBorder="1" applyProtection="1">
      <protection hidden="1"/>
    </xf>
    <xf numFmtId="3" fontId="1" fillId="12" borderId="102" xfId="0" applyNumberFormat="1" applyFont="1" applyFill="1" applyBorder="1" applyProtection="1">
      <protection hidden="1"/>
    </xf>
    <xf numFmtId="164" fontId="13" fillId="12" borderId="182" xfId="1" applyNumberFormat="1" applyFont="1" applyFill="1" applyBorder="1" applyProtection="1">
      <protection hidden="1"/>
    </xf>
    <xf numFmtId="0" fontId="14" fillId="13" borderId="0" xfId="0" applyFont="1" applyFill="1" applyProtection="1">
      <protection hidden="1"/>
    </xf>
    <xf numFmtId="0" fontId="44" fillId="7" borderId="0" xfId="0" applyFont="1" applyFill="1" applyBorder="1" applyAlignment="1" applyProtection="1">
      <alignment horizontal="center" vertical="center"/>
      <protection hidden="1"/>
    </xf>
    <xf numFmtId="0" fontId="30" fillId="18" borderId="51" xfId="0" applyFont="1" applyFill="1" applyBorder="1" applyAlignment="1" applyProtection="1">
      <alignment horizontal="center"/>
      <protection hidden="1"/>
    </xf>
    <xf numFmtId="0" fontId="30" fillId="18" borderId="52" xfId="0" applyFont="1" applyFill="1" applyBorder="1" applyAlignment="1" applyProtection="1">
      <alignment horizontal="center"/>
      <protection hidden="1"/>
    </xf>
    <xf numFmtId="0" fontId="30" fillId="18" borderId="53" xfId="0" applyFont="1" applyFill="1" applyBorder="1" applyAlignment="1" applyProtection="1">
      <alignment horizontal="center"/>
      <protection hidden="1"/>
    </xf>
    <xf numFmtId="49" fontId="7" fillId="2" borderId="50" xfId="0" applyNumberFormat="1" applyFont="1" applyFill="1" applyBorder="1" applyAlignment="1" applyProtection="1">
      <alignment horizontal="center"/>
      <protection locked="0"/>
    </xf>
    <xf numFmtId="49" fontId="7" fillId="2" borderId="55" xfId="0" applyNumberFormat="1" applyFont="1" applyFill="1" applyBorder="1" applyAlignment="1" applyProtection="1">
      <alignment horizontal="center"/>
      <protection locked="0"/>
    </xf>
    <xf numFmtId="0" fontId="37" fillId="2" borderId="57" xfId="0" applyFont="1" applyFill="1" applyBorder="1" applyAlignment="1" applyProtection="1">
      <alignment horizontal="center"/>
      <protection locked="0"/>
    </xf>
    <xf numFmtId="0" fontId="37" fillId="2" borderId="58" xfId="0" applyFont="1" applyFill="1" applyBorder="1" applyAlignment="1" applyProtection="1">
      <alignment horizontal="center"/>
      <protection locked="0"/>
    </xf>
    <xf numFmtId="0" fontId="15" fillId="4" borderId="0" xfId="0" applyFont="1" applyFill="1" applyAlignment="1" applyProtection="1">
      <alignment horizontal="justify" wrapText="1"/>
      <protection hidden="1"/>
    </xf>
    <xf numFmtId="164" fontId="1" fillId="2" borderId="50" xfId="0" applyNumberFormat="1" applyFont="1" applyFill="1" applyBorder="1" applyAlignment="1" applyProtection="1">
      <alignment horizontal="center"/>
      <protection locked="0"/>
    </xf>
    <xf numFmtId="164" fontId="1" fillId="2" borderId="55" xfId="0" applyNumberFormat="1" applyFont="1" applyFill="1" applyBorder="1" applyAlignment="1" applyProtection="1">
      <alignment horizontal="center"/>
      <protection locked="0"/>
    </xf>
    <xf numFmtId="0" fontId="30" fillId="18" borderId="25" xfId="0" applyFont="1" applyFill="1" applyBorder="1" applyAlignment="1" applyProtection="1">
      <alignment horizontal="center"/>
      <protection hidden="1"/>
    </xf>
    <xf numFmtId="0" fontId="30" fillId="18" borderId="26" xfId="0" applyFont="1" applyFill="1" applyBorder="1" applyAlignment="1" applyProtection="1">
      <alignment horizontal="center"/>
      <protection hidden="1"/>
    </xf>
    <xf numFmtId="0" fontId="30" fillId="18" borderId="27" xfId="0" applyFont="1" applyFill="1" applyBorder="1" applyAlignment="1" applyProtection="1">
      <alignment horizontal="center"/>
      <protection hidden="1"/>
    </xf>
    <xf numFmtId="0" fontId="2" fillId="7" borderId="14"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86" xfId="0" applyFont="1" applyFill="1" applyBorder="1" applyAlignment="1" applyProtection="1">
      <alignment horizontal="center" vertical="center"/>
      <protection hidden="1"/>
    </xf>
    <xf numFmtId="49" fontId="1" fillId="2" borderId="50" xfId="0" applyNumberFormat="1" applyFont="1" applyFill="1" applyBorder="1" applyAlignment="1" applyProtection="1">
      <alignment horizontal="center"/>
      <protection locked="0"/>
    </xf>
    <xf numFmtId="49" fontId="1" fillId="2" borderId="55" xfId="0" applyNumberFormat="1" applyFont="1" applyFill="1" applyBorder="1" applyAlignment="1" applyProtection="1">
      <alignment horizontal="center"/>
      <protection locked="0"/>
    </xf>
    <xf numFmtId="0" fontId="1" fillId="2" borderId="50" xfId="0" applyFont="1" applyFill="1" applyBorder="1" applyAlignment="1" applyProtection="1">
      <alignment horizontal="center"/>
      <protection locked="0"/>
    </xf>
    <xf numFmtId="0" fontId="1" fillId="2" borderId="55" xfId="0" applyFont="1" applyFill="1" applyBorder="1" applyAlignment="1" applyProtection="1">
      <alignment horizontal="center"/>
      <protection locked="0"/>
    </xf>
    <xf numFmtId="3" fontId="1" fillId="2" borderId="50" xfId="0" applyNumberFormat="1" applyFont="1" applyFill="1" applyBorder="1" applyAlignment="1" applyProtection="1">
      <alignment horizontal="center"/>
      <protection locked="0"/>
    </xf>
    <xf numFmtId="3" fontId="1" fillId="2" borderId="55" xfId="0" applyNumberFormat="1" applyFont="1" applyFill="1" applyBorder="1" applyAlignment="1" applyProtection="1">
      <alignment horizontal="center"/>
      <protection locked="0"/>
    </xf>
    <xf numFmtId="3" fontId="1" fillId="2" borderId="57" xfId="0" applyNumberFormat="1" applyFont="1" applyFill="1" applyBorder="1" applyAlignment="1" applyProtection="1">
      <alignment horizontal="center"/>
      <protection locked="0"/>
    </xf>
    <xf numFmtId="3" fontId="1" fillId="2" borderId="58" xfId="0" applyNumberFormat="1" applyFont="1" applyFill="1" applyBorder="1" applyAlignment="1" applyProtection="1">
      <alignment horizontal="center"/>
      <protection locked="0"/>
    </xf>
    <xf numFmtId="0" fontId="1" fillId="2" borderId="114" xfId="0" applyFont="1" applyFill="1" applyBorder="1" applyAlignment="1" applyProtection="1">
      <alignment horizontal="center"/>
      <protection locked="0"/>
    </xf>
    <xf numFmtId="0" fontId="56" fillId="2" borderId="115" xfId="0" applyFont="1" applyFill="1" applyBorder="1" applyAlignment="1" applyProtection="1">
      <alignment horizontal="center"/>
      <protection locked="0"/>
    </xf>
    <xf numFmtId="167" fontId="1" fillId="2" borderId="114" xfId="0" applyNumberFormat="1" applyFont="1" applyFill="1" applyBorder="1" applyAlignment="1" applyProtection="1">
      <alignment horizontal="center"/>
      <protection locked="0"/>
    </xf>
    <xf numFmtId="167" fontId="1" fillId="2" borderId="115" xfId="0" applyNumberFormat="1" applyFont="1" applyFill="1" applyBorder="1" applyAlignment="1" applyProtection="1">
      <alignment horizontal="center"/>
      <protection locked="0"/>
    </xf>
    <xf numFmtId="0" fontId="3" fillId="11" borderId="48" xfId="0" applyFont="1" applyFill="1" applyBorder="1" applyAlignment="1" applyProtection="1">
      <alignment horizontal="right"/>
      <protection hidden="1"/>
    </xf>
    <xf numFmtId="0" fontId="3" fillId="11" borderId="37" xfId="0" applyFont="1" applyFill="1" applyBorder="1" applyAlignment="1" applyProtection="1">
      <alignment horizontal="right"/>
      <protection hidden="1"/>
    </xf>
    <xf numFmtId="0" fontId="30" fillId="18" borderId="44" xfId="0" applyFont="1" applyFill="1" applyBorder="1" applyAlignment="1" applyProtection="1">
      <alignment horizontal="center" vertical="center"/>
      <protection hidden="1"/>
    </xf>
    <xf numFmtId="0" fontId="30" fillId="18" borderId="34" xfId="0" applyFont="1" applyFill="1" applyBorder="1" applyAlignment="1" applyProtection="1">
      <alignment horizontal="center" vertical="center"/>
      <protection hidden="1"/>
    </xf>
    <xf numFmtId="0" fontId="16" fillId="5" borderId="0" xfId="0" applyFont="1" applyFill="1" applyBorder="1" applyAlignment="1" applyProtection="1">
      <alignment horizontal="center"/>
      <protection hidden="1"/>
    </xf>
    <xf numFmtId="0" fontId="31" fillId="18" borderId="28" xfId="0" applyFont="1" applyFill="1" applyBorder="1" applyAlignment="1" applyProtection="1">
      <alignment horizontal="center"/>
      <protection hidden="1"/>
    </xf>
    <xf numFmtId="0" fontId="31" fillId="18" borderId="29" xfId="0" applyFont="1" applyFill="1" applyBorder="1" applyAlignment="1" applyProtection="1">
      <alignment horizontal="center"/>
      <protection hidden="1"/>
    </xf>
    <xf numFmtId="0" fontId="31" fillId="18" borderId="30" xfId="0" applyFont="1" applyFill="1" applyBorder="1" applyAlignment="1" applyProtection="1">
      <alignment horizontal="center"/>
      <protection hidden="1"/>
    </xf>
    <xf numFmtId="0" fontId="3" fillId="11" borderId="45" xfId="0" applyFont="1" applyFill="1" applyBorder="1" applyAlignment="1" applyProtection="1">
      <alignment horizontal="right"/>
      <protection hidden="1"/>
    </xf>
    <xf numFmtId="0" fontId="3" fillId="11" borderId="46" xfId="0" applyFont="1" applyFill="1" applyBorder="1" applyAlignment="1" applyProtection="1">
      <alignment horizontal="right"/>
      <protection hidden="1"/>
    </xf>
    <xf numFmtId="0" fontId="3" fillId="11" borderId="47" xfId="0" applyFont="1" applyFill="1" applyBorder="1" applyAlignment="1" applyProtection="1">
      <alignment horizontal="right"/>
      <protection hidden="1"/>
    </xf>
    <xf numFmtId="0" fontId="3" fillId="11" borderId="36" xfId="0" applyFont="1" applyFill="1" applyBorder="1" applyAlignment="1" applyProtection="1">
      <alignment horizontal="right"/>
      <protection hidden="1"/>
    </xf>
    <xf numFmtId="3" fontId="33" fillId="14" borderId="95" xfId="0" applyNumberFormat="1" applyFont="1" applyFill="1" applyBorder="1" applyAlignment="1" applyProtection="1">
      <alignment horizontal="center" vertical="center" wrapText="1"/>
      <protection hidden="1"/>
    </xf>
    <xf numFmtId="3" fontId="33" fillId="14" borderId="39" xfId="0" applyNumberFormat="1" applyFont="1" applyFill="1" applyBorder="1" applyAlignment="1" applyProtection="1">
      <alignment horizontal="center" vertical="center" wrapText="1"/>
      <protection hidden="1"/>
    </xf>
    <xf numFmtId="3" fontId="33" fillId="16" borderId="95" xfId="0" applyNumberFormat="1" applyFont="1" applyFill="1" applyBorder="1" applyAlignment="1" applyProtection="1">
      <alignment horizontal="center" vertical="center" wrapText="1"/>
      <protection hidden="1"/>
    </xf>
    <xf numFmtId="3" fontId="33" fillId="16" borderId="39" xfId="0" applyNumberFormat="1" applyFont="1" applyFill="1" applyBorder="1" applyAlignment="1" applyProtection="1">
      <alignment horizontal="center" vertical="center" wrapText="1"/>
      <protection hidden="1"/>
    </xf>
    <xf numFmtId="0" fontId="7" fillId="19" borderId="28" xfId="0" applyFont="1" applyFill="1" applyBorder="1" applyAlignment="1" applyProtection="1">
      <alignment horizontal="center" vertical="center"/>
      <protection hidden="1"/>
    </xf>
    <xf numFmtId="0" fontId="7" fillId="19" borderId="29" xfId="0" applyFont="1" applyFill="1" applyBorder="1" applyAlignment="1" applyProtection="1">
      <alignment horizontal="center" vertical="center"/>
      <protection hidden="1"/>
    </xf>
    <xf numFmtId="0" fontId="7" fillId="19" borderId="30" xfId="0" applyFont="1" applyFill="1" applyBorder="1" applyAlignment="1" applyProtection="1">
      <alignment horizontal="center" vertical="center"/>
      <protection hidden="1"/>
    </xf>
    <xf numFmtId="0" fontId="7" fillId="6" borderId="28" xfId="0" applyFont="1" applyFill="1" applyBorder="1" applyAlignment="1" applyProtection="1">
      <alignment horizontal="center" vertical="center"/>
      <protection hidden="1"/>
    </xf>
    <xf numFmtId="0" fontId="7" fillId="6" borderId="29" xfId="0" applyFont="1" applyFill="1" applyBorder="1" applyAlignment="1" applyProtection="1">
      <alignment horizontal="center" vertical="center"/>
      <protection hidden="1"/>
    </xf>
    <xf numFmtId="0" fontId="7" fillId="6" borderId="30" xfId="0" applyFont="1" applyFill="1" applyBorder="1" applyAlignment="1" applyProtection="1">
      <alignment horizontal="center" vertical="center"/>
      <protection hidden="1"/>
    </xf>
    <xf numFmtId="3" fontId="1" fillId="2" borderId="106" xfId="0" applyNumberFormat="1" applyFont="1" applyFill="1" applyBorder="1" applyAlignment="1" applyProtection="1">
      <alignment horizontal="center"/>
      <protection locked="0"/>
    </xf>
    <xf numFmtId="3" fontId="1" fillId="2" borderId="107" xfId="0" applyNumberFormat="1" applyFont="1" applyFill="1" applyBorder="1" applyAlignment="1" applyProtection="1">
      <alignment horizontal="center"/>
      <protection locked="0"/>
    </xf>
    <xf numFmtId="3" fontId="1" fillId="2" borderId="90" xfId="0" applyNumberFormat="1" applyFont="1" applyFill="1" applyBorder="1" applyAlignment="1" applyProtection="1">
      <alignment horizontal="center"/>
      <protection locked="0"/>
    </xf>
    <xf numFmtId="3" fontId="1" fillId="2" borderId="108" xfId="0" applyNumberFormat="1" applyFont="1" applyFill="1" applyBorder="1" applyAlignment="1" applyProtection="1">
      <alignment horizontal="center"/>
      <protection locked="0"/>
    </xf>
    <xf numFmtId="0" fontId="36" fillId="18" borderId="26" xfId="0" applyFont="1" applyFill="1" applyBorder="1" applyAlignment="1" applyProtection="1">
      <alignment horizontal="center"/>
      <protection hidden="1"/>
    </xf>
    <xf numFmtId="0" fontId="36" fillId="18" borderId="27" xfId="0" applyFont="1" applyFill="1" applyBorder="1" applyAlignment="1" applyProtection="1">
      <alignment horizontal="center"/>
      <protection hidden="1"/>
    </xf>
    <xf numFmtId="0" fontId="32" fillId="16" borderId="100" xfId="0" applyFont="1" applyFill="1" applyBorder="1" applyAlignment="1" applyProtection="1">
      <alignment horizontal="center" vertical="center"/>
      <protection hidden="1"/>
    </xf>
    <xf numFmtId="0" fontId="32" fillId="16" borderId="99" xfId="0" applyFont="1" applyFill="1" applyBorder="1" applyAlignment="1" applyProtection="1">
      <alignment horizontal="center" vertical="center"/>
      <protection hidden="1"/>
    </xf>
    <xf numFmtId="0" fontId="32" fillId="16" borderId="101" xfId="0" applyFont="1" applyFill="1" applyBorder="1" applyAlignment="1" applyProtection="1">
      <alignment horizontal="center" vertical="center"/>
      <protection hidden="1"/>
    </xf>
    <xf numFmtId="0" fontId="32" fillId="14" borderId="176" xfId="0" applyFont="1" applyFill="1" applyBorder="1" applyAlignment="1" applyProtection="1">
      <alignment horizontal="center" vertical="center"/>
      <protection hidden="1"/>
    </xf>
    <xf numFmtId="0" fontId="32" fillId="14" borderId="177" xfId="0" applyFont="1" applyFill="1" applyBorder="1" applyAlignment="1" applyProtection="1">
      <alignment horizontal="center" vertical="center"/>
      <protection hidden="1"/>
    </xf>
    <xf numFmtId="0" fontId="32" fillId="14" borderId="178" xfId="0" applyFont="1" applyFill="1" applyBorder="1" applyAlignment="1" applyProtection="1">
      <alignment horizontal="center" vertical="center"/>
      <protection hidden="1"/>
    </xf>
    <xf numFmtId="0" fontId="1" fillId="2" borderId="48" xfId="0" applyFont="1" applyFill="1" applyBorder="1" applyAlignment="1" applyProtection="1">
      <alignment horizontal="right"/>
      <protection locked="0"/>
    </xf>
    <xf numFmtId="0" fontId="1" fillId="2" borderId="37" xfId="0" applyFont="1" applyFill="1" applyBorder="1" applyAlignment="1" applyProtection="1">
      <alignment horizontal="right"/>
      <protection locked="0"/>
    </xf>
    <xf numFmtId="0" fontId="32" fillId="14" borderId="44" xfId="0" applyFont="1" applyFill="1" applyBorder="1" applyAlignment="1" applyProtection="1">
      <alignment horizontal="center" vertical="center"/>
      <protection hidden="1"/>
    </xf>
    <xf numFmtId="0" fontId="32" fillId="14" borderId="88" xfId="0" applyFont="1" applyFill="1" applyBorder="1" applyAlignment="1" applyProtection="1">
      <alignment horizontal="center" vertical="center"/>
      <protection hidden="1"/>
    </xf>
    <xf numFmtId="0" fontId="32" fillId="14" borderId="43" xfId="0" applyFont="1" applyFill="1" applyBorder="1" applyAlignment="1" applyProtection="1">
      <alignment horizontal="center" vertical="center"/>
      <protection hidden="1"/>
    </xf>
    <xf numFmtId="0" fontId="31" fillId="18" borderId="14" xfId="0" applyFont="1" applyFill="1" applyBorder="1" applyAlignment="1" applyProtection="1">
      <alignment horizontal="center"/>
      <protection hidden="1"/>
    </xf>
    <xf numFmtId="0" fontId="31" fillId="18" borderId="0" xfId="0" applyFont="1" applyFill="1" applyBorder="1" applyAlignment="1" applyProtection="1">
      <alignment horizontal="center"/>
      <protection hidden="1"/>
    </xf>
    <xf numFmtId="0" fontId="1" fillId="2" borderId="47" xfId="0" applyFont="1" applyFill="1" applyBorder="1" applyAlignment="1" applyProtection="1">
      <alignment horizontal="right"/>
      <protection locked="0"/>
    </xf>
    <xf numFmtId="0" fontId="1" fillId="2" borderId="36" xfId="0" applyFont="1" applyFill="1" applyBorder="1" applyAlignment="1" applyProtection="1">
      <alignment horizontal="right"/>
      <protection locked="0"/>
    </xf>
    <xf numFmtId="0" fontId="32" fillId="18" borderId="44" xfId="0" applyFont="1" applyFill="1" applyBorder="1" applyAlignment="1" applyProtection="1">
      <alignment horizontal="center" vertical="center"/>
      <protection hidden="1"/>
    </xf>
    <xf numFmtId="0" fontId="32" fillId="18" borderId="34" xfId="0" applyFont="1" applyFill="1" applyBorder="1" applyAlignment="1" applyProtection="1">
      <alignment horizontal="center" vertical="center"/>
      <protection hidden="1"/>
    </xf>
    <xf numFmtId="0" fontId="3" fillId="2" borderId="45" xfId="0" applyFont="1" applyFill="1" applyBorder="1" applyAlignment="1" applyProtection="1">
      <alignment horizontal="right"/>
      <protection locked="0"/>
    </xf>
    <xf numFmtId="0" fontId="3" fillId="2" borderId="46" xfId="0" applyFont="1" applyFill="1" applyBorder="1" applyAlignment="1" applyProtection="1">
      <alignment horizontal="right"/>
      <protection locked="0"/>
    </xf>
    <xf numFmtId="0" fontId="18" fillId="4" borderId="116" xfId="0" applyFont="1" applyFill="1" applyBorder="1" applyAlignment="1" applyProtection="1">
      <alignment horizontal="center"/>
      <protection hidden="1"/>
    </xf>
    <xf numFmtId="0" fontId="27" fillId="13" borderId="14" xfId="0" applyFont="1" applyFill="1" applyBorder="1" applyAlignment="1" applyProtection="1">
      <alignment horizontal="center"/>
      <protection hidden="1"/>
    </xf>
    <xf numFmtId="0" fontId="27" fillId="13" borderId="0" xfId="0" applyFont="1" applyFill="1" applyAlignment="1" applyProtection="1">
      <alignment horizontal="center"/>
      <protection hidden="1"/>
    </xf>
    <xf numFmtId="0" fontId="27" fillId="13" borderId="86" xfId="0" applyFont="1" applyFill="1" applyBorder="1" applyAlignment="1" applyProtection="1">
      <alignment horizontal="center"/>
      <protection hidden="1"/>
    </xf>
    <xf numFmtId="0" fontId="27" fillId="13" borderId="104" xfId="0" applyFont="1" applyFill="1" applyBorder="1" applyAlignment="1" applyProtection="1">
      <alignment horizontal="center" vertical="center"/>
      <protection hidden="1"/>
    </xf>
    <xf numFmtId="0" fontId="27" fillId="13" borderId="93" xfId="0" applyFont="1" applyFill="1" applyBorder="1" applyAlignment="1" applyProtection="1">
      <alignment horizontal="center" vertical="center"/>
      <protection hidden="1"/>
    </xf>
    <xf numFmtId="0" fontId="27" fillId="13" borderId="105" xfId="0" applyFont="1" applyFill="1" applyBorder="1" applyAlignment="1" applyProtection="1">
      <alignment horizontal="center" vertical="center"/>
      <protection hidden="1"/>
    </xf>
    <xf numFmtId="0" fontId="43" fillId="18" borderId="162" xfId="0" applyFont="1" applyFill="1" applyBorder="1" applyAlignment="1" applyProtection="1">
      <alignment horizontal="center" vertical="center" wrapText="1"/>
      <protection hidden="1"/>
    </xf>
    <xf numFmtId="0" fontId="43" fillId="18" borderId="163" xfId="0" applyFont="1" applyFill="1" applyBorder="1" applyAlignment="1" applyProtection="1">
      <alignment horizontal="center" vertical="center" wrapText="1"/>
      <protection hidden="1"/>
    </xf>
    <xf numFmtId="0" fontId="8" fillId="3" borderId="28" xfId="0" applyFont="1" applyFill="1" applyBorder="1" applyAlignment="1" applyProtection="1">
      <alignment horizontal="right" vertical="center"/>
      <protection hidden="1"/>
    </xf>
    <xf numFmtId="0" fontId="8" fillId="3" borderId="29" xfId="0" applyFont="1" applyFill="1" applyBorder="1" applyAlignment="1" applyProtection="1">
      <alignment horizontal="right" vertical="center"/>
      <protection hidden="1"/>
    </xf>
    <xf numFmtId="0" fontId="8" fillId="3" borderId="111" xfId="0" applyFont="1" applyFill="1" applyBorder="1" applyAlignment="1" applyProtection="1">
      <alignment horizontal="right" vertical="center"/>
      <protection hidden="1"/>
    </xf>
    <xf numFmtId="3" fontId="12" fillId="5" borderId="116" xfId="0" applyNumberFormat="1" applyFont="1" applyFill="1" applyBorder="1" applyAlignment="1" applyProtection="1">
      <alignment horizontal="center"/>
      <protection hidden="1"/>
    </xf>
    <xf numFmtId="0" fontId="16" fillId="5" borderId="116" xfId="0" applyFont="1" applyFill="1" applyBorder="1" applyAlignment="1" applyProtection="1">
      <alignment horizontal="center"/>
      <protection hidden="1"/>
    </xf>
    <xf numFmtId="0" fontId="36" fillId="14" borderId="169" xfId="0" applyFont="1" applyFill="1" applyBorder="1" applyAlignment="1" applyProtection="1">
      <alignment horizontal="center" vertical="center" wrapText="1"/>
      <protection hidden="1"/>
    </xf>
    <xf numFmtId="0" fontId="36" fillId="14" borderId="170" xfId="0" applyFont="1" applyFill="1" applyBorder="1" applyAlignment="1" applyProtection="1">
      <alignment horizontal="center" vertical="center" wrapText="1"/>
      <protection hidden="1"/>
    </xf>
    <xf numFmtId="0" fontId="7" fillId="4" borderId="153" xfId="0" applyFont="1" applyFill="1" applyBorder="1" applyAlignment="1">
      <alignment horizontal="center"/>
    </xf>
    <xf numFmtId="0" fontId="7" fillId="4" borderId="154" xfId="0" applyFont="1" applyFill="1" applyBorder="1" applyAlignment="1">
      <alignment horizontal="center"/>
    </xf>
    <xf numFmtId="0" fontId="7" fillId="4" borderId="155" xfId="0" applyFont="1" applyFill="1" applyBorder="1" applyAlignment="1">
      <alignment horizontal="center"/>
    </xf>
    <xf numFmtId="0" fontId="7" fillId="4" borderId="151" xfId="0" applyFont="1" applyFill="1" applyBorder="1" applyAlignment="1">
      <alignment horizontal="center"/>
    </xf>
    <xf numFmtId="0" fontId="7" fillId="4" borderId="146" xfId="0" applyFont="1" applyFill="1" applyBorder="1" applyAlignment="1">
      <alignment horizontal="center"/>
    </xf>
    <xf numFmtId="0" fontId="7" fillId="4" borderId="152" xfId="0" applyFont="1" applyFill="1" applyBorder="1" applyAlignment="1">
      <alignment horizontal="center"/>
    </xf>
    <xf numFmtId="0" fontId="7" fillId="4" borderId="156" xfId="0" applyFont="1" applyFill="1" applyBorder="1" applyAlignment="1">
      <alignment horizontal="center"/>
    </xf>
    <xf numFmtId="0" fontId="7" fillId="4" borderId="157" xfId="0" applyFont="1" applyFill="1" applyBorder="1" applyAlignment="1">
      <alignment horizontal="center"/>
    </xf>
    <xf numFmtId="0" fontId="7" fillId="4" borderId="158" xfId="0" applyFont="1" applyFill="1" applyBorder="1" applyAlignment="1">
      <alignment horizontal="center"/>
    </xf>
    <xf numFmtId="0" fontId="46" fillId="4" borderId="167" xfId="0" applyFont="1" applyFill="1" applyBorder="1" applyAlignment="1">
      <alignment horizontal="center"/>
    </xf>
    <xf numFmtId="0" fontId="46" fillId="4" borderId="18" xfId="0" applyFont="1" applyFill="1" applyBorder="1" applyAlignment="1">
      <alignment horizontal="center"/>
    </xf>
    <xf numFmtId="0" fontId="46" fillId="4" borderId="168" xfId="0" applyFont="1" applyFill="1" applyBorder="1" applyAlignment="1">
      <alignment horizontal="center"/>
    </xf>
    <xf numFmtId="0" fontId="7" fillId="19" borderId="28" xfId="0" applyFont="1" applyFill="1" applyBorder="1" applyAlignment="1">
      <alignment horizontal="center" vertical="center"/>
    </xf>
    <xf numFmtId="0" fontId="7" fillId="19" borderId="29" xfId="0" applyFont="1" applyFill="1" applyBorder="1" applyAlignment="1">
      <alignment horizontal="center" vertical="center"/>
    </xf>
    <xf numFmtId="0" fontId="7" fillId="19" borderId="30"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18" fillId="4" borderId="116" xfId="0" applyFont="1" applyFill="1" applyBorder="1" applyAlignment="1">
      <alignment horizontal="center"/>
    </xf>
    <xf numFmtId="0" fontId="5" fillId="12" borderId="19" xfId="0" applyFont="1" applyFill="1" applyBorder="1" applyAlignment="1">
      <alignment horizontal="center"/>
    </xf>
    <xf numFmtId="0" fontId="5" fillId="12" borderId="20" xfId="0" applyFont="1" applyFill="1" applyBorder="1" applyAlignment="1">
      <alignment horizontal="center"/>
    </xf>
    <xf numFmtId="0" fontId="5" fillId="12" borderId="21" xfId="0" applyFont="1" applyFill="1" applyBorder="1" applyAlignment="1">
      <alignment horizontal="center"/>
    </xf>
    <xf numFmtId="0" fontId="5" fillId="2" borderId="179" xfId="0" applyFont="1" applyFill="1" applyBorder="1" applyAlignment="1" applyProtection="1">
      <alignment horizontal="center"/>
      <protection locked="0" hidden="1"/>
    </xf>
    <xf numFmtId="0" fontId="5" fillId="2" borderId="180" xfId="0" applyFont="1" applyFill="1" applyBorder="1" applyAlignment="1" applyProtection="1">
      <alignment horizontal="center"/>
      <protection locked="0" hidden="1"/>
    </xf>
    <xf numFmtId="0" fontId="7" fillId="0" borderId="14" xfId="0" applyFont="1" applyBorder="1" applyAlignment="1">
      <alignment horizontal="justify" wrapText="1"/>
    </xf>
    <xf numFmtId="0" fontId="7" fillId="0" borderId="0" xfId="0" applyFont="1" applyBorder="1" applyAlignment="1">
      <alignment horizontal="justify" wrapText="1"/>
    </xf>
    <xf numFmtId="0" fontId="7" fillId="0" borderId="86" xfId="0" applyFont="1" applyBorder="1" applyAlignment="1">
      <alignment horizontal="justify" wrapText="1"/>
    </xf>
    <xf numFmtId="0" fontId="7" fillId="0" borderId="167" xfId="0" applyFont="1" applyBorder="1" applyAlignment="1">
      <alignment horizontal="justify" wrapText="1"/>
    </xf>
    <xf numFmtId="0" fontId="7" fillId="0" borderId="18" xfId="0" applyFont="1" applyBorder="1" applyAlignment="1">
      <alignment horizontal="justify" wrapText="1"/>
    </xf>
    <xf numFmtId="0" fontId="7" fillId="0" borderId="168" xfId="0" applyFont="1" applyBorder="1" applyAlignment="1">
      <alignment horizontal="justify" wrapText="1"/>
    </xf>
    <xf numFmtId="0" fontId="9" fillId="0" borderId="138" xfId="0" applyFont="1" applyBorder="1" applyAlignment="1">
      <alignment horizontal="center"/>
    </xf>
    <xf numFmtId="0" fontId="9" fillId="0" borderId="116" xfId="0" applyFont="1" applyBorder="1" applyAlignment="1">
      <alignment horizontal="center"/>
    </xf>
    <xf numFmtId="0" fontId="9" fillId="0" borderId="131" xfId="0" applyFont="1" applyBorder="1" applyAlignment="1">
      <alignment horizontal="center"/>
    </xf>
    <xf numFmtId="0" fontId="27" fillId="0" borderId="144" xfId="0" applyFont="1" applyBorder="1" applyAlignment="1">
      <alignment horizontal="center"/>
    </xf>
    <xf numFmtId="0" fontId="27" fillId="0" borderId="0" xfId="0" applyFont="1" applyBorder="1" applyAlignment="1">
      <alignment horizontal="center"/>
    </xf>
    <xf numFmtId="0" fontId="27" fillId="0" borderId="145" xfId="0" applyFont="1" applyBorder="1" applyAlignment="1">
      <alignment horizontal="center"/>
    </xf>
    <xf numFmtId="0" fontId="7" fillId="0" borderId="14" xfId="0" applyFont="1" applyBorder="1" applyAlignment="1">
      <alignment horizontal="left" wrapText="1"/>
    </xf>
    <xf numFmtId="0" fontId="7" fillId="0" borderId="0" xfId="0" applyFont="1" applyBorder="1" applyAlignment="1">
      <alignment horizontal="left" wrapText="1"/>
    </xf>
    <xf numFmtId="0" fontId="7" fillId="0" borderId="86" xfId="0" applyFont="1" applyBorder="1" applyAlignment="1">
      <alignment horizontal="left" wrapText="1"/>
    </xf>
    <xf numFmtId="0" fontId="48" fillId="0" borderId="14" xfId="0" applyFont="1" applyBorder="1" applyAlignment="1">
      <alignment horizontal="left" wrapText="1"/>
    </xf>
    <xf numFmtId="0" fontId="48" fillId="0" borderId="0" xfId="0" applyFont="1" applyBorder="1" applyAlignment="1">
      <alignment horizontal="left" wrapText="1"/>
    </xf>
    <xf numFmtId="0" fontId="48" fillId="0" borderId="86" xfId="0" applyFont="1" applyBorder="1" applyAlignment="1">
      <alignment horizontal="left" wrapText="1"/>
    </xf>
    <xf numFmtId="0" fontId="7" fillId="0" borderId="171" xfId="0" applyFont="1" applyBorder="1" applyAlignment="1">
      <alignment horizontal="justify" wrapText="1"/>
    </xf>
    <xf numFmtId="0" fontId="7" fillId="0" borderId="172" xfId="0" applyFont="1" applyBorder="1" applyAlignment="1">
      <alignment horizontal="justify" wrapText="1"/>
    </xf>
    <xf numFmtId="0" fontId="7" fillId="0" borderId="173" xfId="0" applyFont="1" applyBorder="1" applyAlignment="1">
      <alignment horizontal="justify" wrapText="1"/>
    </xf>
    <xf numFmtId="0" fontId="7" fillId="2" borderId="14" xfId="0" applyFont="1" applyFill="1" applyBorder="1" applyAlignment="1">
      <alignment horizontal="justify" wrapText="1"/>
    </xf>
    <xf numFmtId="0" fontId="7" fillId="2" borderId="0" xfId="0" applyFont="1" applyFill="1" applyBorder="1" applyAlignment="1">
      <alignment horizontal="justify" wrapText="1"/>
    </xf>
    <xf numFmtId="0" fontId="7" fillId="2" borderId="86" xfId="0" applyFont="1" applyFill="1" applyBorder="1" applyAlignment="1">
      <alignment horizontal="justify" wrapText="1"/>
    </xf>
    <xf numFmtId="0" fontId="35" fillId="18" borderId="138" xfId="0" applyFont="1" applyFill="1" applyBorder="1" applyAlignment="1">
      <alignment horizontal="center" vertical="center"/>
    </xf>
    <xf numFmtId="0" fontId="35" fillId="18" borderId="116" xfId="0" applyFont="1" applyFill="1" applyBorder="1" applyAlignment="1">
      <alignment horizontal="center" vertical="center"/>
    </xf>
    <xf numFmtId="0" fontId="35" fillId="18" borderId="131" xfId="0" applyFont="1" applyFill="1" applyBorder="1" applyAlignment="1">
      <alignment horizontal="center" vertical="center"/>
    </xf>
    <xf numFmtId="0" fontId="27" fillId="0" borderId="104" xfId="0" applyFont="1" applyBorder="1" applyAlignment="1">
      <alignment horizontal="center"/>
    </xf>
    <xf numFmtId="0" fontId="27" fillId="0" borderId="93" xfId="0" applyFont="1" applyBorder="1" applyAlignment="1">
      <alignment horizontal="center"/>
    </xf>
    <xf numFmtId="0" fontId="27" fillId="0" borderId="105" xfId="0" applyFont="1" applyBorder="1" applyAlignment="1">
      <alignment horizontal="center"/>
    </xf>
    <xf numFmtId="0" fontId="27" fillId="0" borderId="14" xfId="0" applyFont="1" applyBorder="1" applyAlignment="1">
      <alignment horizontal="center" wrapText="1"/>
    </xf>
    <xf numFmtId="0" fontId="27" fillId="0" borderId="0" xfId="0" applyFont="1" applyBorder="1" applyAlignment="1">
      <alignment horizontal="center" wrapText="1"/>
    </xf>
    <xf numFmtId="0" fontId="27" fillId="0" borderId="86" xfId="0" applyFont="1" applyBorder="1" applyAlignment="1">
      <alignment horizontal="center" wrapText="1"/>
    </xf>
    <xf numFmtId="0" fontId="7" fillId="0" borderId="14" xfId="0" applyFont="1" applyBorder="1" applyAlignment="1">
      <alignment horizontal="justify"/>
    </xf>
    <xf numFmtId="0" fontId="7" fillId="0" borderId="0" xfId="0" applyFont="1" applyBorder="1" applyAlignment="1">
      <alignment horizontal="justify"/>
    </xf>
    <xf numFmtId="0" fontId="7" fillId="0" borderId="86" xfId="0" applyFont="1" applyBorder="1" applyAlignment="1">
      <alignment horizontal="justify"/>
    </xf>
    <xf numFmtId="0" fontId="48" fillId="10" borderId="167" xfId="0" applyFont="1" applyFill="1" applyBorder="1" applyAlignment="1" applyProtection="1">
      <alignment horizontal="left" vertical="top" wrapText="1"/>
      <protection locked="0"/>
    </xf>
    <xf numFmtId="0" fontId="48" fillId="10" borderId="18" xfId="0" applyFont="1" applyFill="1" applyBorder="1" applyAlignment="1" applyProtection="1">
      <alignment horizontal="left" vertical="top" wrapText="1"/>
      <protection locked="0"/>
    </xf>
    <xf numFmtId="0" fontId="48" fillId="10" borderId="168" xfId="0" applyFont="1" applyFill="1" applyBorder="1" applyAlignment="1" applyProtection="1">
      <alignment horizontal="left" vertical="top" wrapText="1"/>
      <protection locked="0"/>
    </xf>
    <xf numFmtId="0" fontId="49" fillId="0" borderId="138" xfId="0" applyFont="1" applyBorder="1" applyAlignment="1">
      <alignment horizontal="center" wrapText="1"/>
    </xf>
    <xf numFmtId="0" fontId="49" fillId="0" borderId="116" xfId="0" applyFont="1" applyBorder="1" applyAlignment="1">
      <alignment horizontal="center" wrapText="1"/>
    </xf>
    <xf numFmtId="0" fontId="49" fillId="0" borderId="131" xfId="0" applyFont="1" applyBorder="1" applyAlignment="1">
      <alignment horizontal="center" wrapText="1"/>
    </xf>
    <xf numFmtId="0" fontId="50" fillId="18" borderId="0" xfId="0" applyFont="1" applyFill="1" applyAlignment="1">
      <alignment horizontal="center"/>
    </xf>
    <xf numFmtId="0" fontId="46" fillId="0" borderId="138" xfId="0" applyFont="1" applyBorder="1" applyAlignment="1">
      <alignment horizontal="center"/>
    </xf>
    <xf numFmtId="0" fontId="46" fillId="0" borderId="116" xfId="0" applyFont="1" applyBorder="1" applyAlignment="1">
      <alignment horizontal="center"/>
    </xf>
    <xf numFmtId="0" fontId="46" fillId="0" borderId="131" xfId="0" applyFont="1" applyBorder="1" applyAlignment="1">
      <alignment horizontal="center"/>
    </xf>
    <xf numFmtId="0" fontId="7" fillId="0" borderId="143" xfId="0" applyFont="1" applyBorder="1" applyAlignment="1">
      <alignment horizontal="center"/>
    </xf>
    <xf numFmtId="0" fontId="48" fillId="0" borderId="14" xfId="0" applyFont="1" applyBorder="1" applyAlignment="1">
      <alignment horizontal="justify" wrapText="1"/>
    </xf>
    <xf numFmtId="0" fontId="48" fillId="0" borderId="0" xfId="0" applyFont="1" applyBorder="1" applyAlignment="1">
      <alignment horizontal="justify" wrapText="1"/>
    </xf>
    <xf numFmtId="0" fontId="48" fillId="0" borderId="86" xfId="0" applyFont="1" applyBorder="1" applyAlignment="1">
      <alignment horizontal="justify" wrapText="1"/>
    </xf>
    <xf numFmtId="0" fontId="35" fillId="18" borderId="89" xfId="0" applyFont="1" applyFill="1" applyBorder="1" applyAlignment="1">
      <alignment horizontal="center" vertical="center"/>
    </xf>
    <xf numFmtId="0" fontId="35" fillId="18" borderId="120" xfId="0" applyFont="1" applyFill="1" applyBorder="1" applyAlignment="1">
      <alignment horizontal="center" vertical="center"/>
    </xf>
    <xf numFmtId="0" fontId="35" fillId="18" borderId="36" xfId="0" applyFont="1" applyFill="1" applyBorder="1" applyAlignment="1">
      <alignment horizontal="center" vertical="center"/>
    </xf>
  </cellXfs>
  <cellStyles count="2">
    <cellStyle name="Normal" xfId="0" builtinId="0"/>
    <cellStyle name="Pourcentage" xfId="1" builtinId="5"/>
  </cellStyles>
  <dxfs count="2">
    <dxf>
      <fill>
        <patternFill>
          <bgColor theme="9" tint="0.59996337778862885"/>
        </patternFill>
      </fill>
    </dxf>
    <dxf>
      <fill>
        <patternFill>
          <bgColor theme="5" tint="0.59996337778862885"/>
        </patternFill>
      </fill>
    </dxf>
  </dxfs>
  <tableStyles count="0" defaultTableStyle="TableStyleMedium2" defaultPivotStyle="PivotStyleLight16"/>
  <colors>
    <mruColors>
      <color rgb="FFBF11A6"/>
      <color rgb="FFFCFFE7"/>
      <color rgb="FFFEFFF7"/>
      <color rgb="FFECFEF5"/>
      <color rgb="FF2B956A"/>
      <color rgb="FFE6F3FE"/>
      <color rgb="FF25AB5E"/>
      <color rgb="FFFDCBF5"/>
      <color rgb="FFFBA3EC"/>
      <color rgb="FF25AD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elanrural.fr/index.php/2025/03/16/outil-simple-et-efficace-danalyse-financiere-des-collectivi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50803</xdr:colOff>
      <xdr:row>0</xdr:row>
      <xdr:rowOff>0</xdr:rowOff>
    </xdr:from>
    <xdr:to>
      <xdr:col>1</xdr:col>
      <xdr:colOff>1119189</xdr:colOff>
      <xdr:row>4</xdr:row>
      <xdr:rowOff>276405</xdr:rowOff>
    </xdr:to>
    <xdr:pic>
      <xdr:nvPicPr>
        <xdr:cNvPr id="4" name="Image 3">
          <a:extLst>
            <a:ext uri="{FF2B5EF4-FFF2-40B4-BE49-F238E27FC236}">
              <a16:creationId xmlns:a16="http://schemas.microsoft.com/office/drawing/2014/main" id="{1F7C1818-624E-5D92-2FE2-0B28324163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53" y="0"/>
          <a:ext cx="1068386" cy="106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1114779</xdr:colOff>
      <xdr:row>0</xdr:row>
      <xdr:rowOff>197556</xdr:rowOff>
    </xdr:from>
    <xdr:ext cx="5750278" cy="959555"/>
    <xdr:sp macro="" textlink="">
      <xdr:nvSpPr>
        <xdr:cNvPr id="2" name="ZoneTexte 1">
          <a:hlinkClick xmlns:r="http://schemas.openxmlformats.org/officeDocument/2006/relationships" r:id="rId2"/>
          <a:extLst>
            <a:ext uri="{FF2B5EF4-FFF2-40B4-BE49-F238E27FC236}">
              <a16:creationId xmlns:a16="http://schemas.microsoft.com/office/drawing/2014/main" id="{C4AE02FC-7C86-35CA-F5B5-5DFA5DB198EC}"/>
            </a:ext>
          </a:extLst>
        </xdr:cNvPr>
        <xdr:cNvSpPr txBox="1"/>
      </xdr:nvSpPr>
      <xdr:spPr>
        <a:xfrm>
          <a:off x="1411112" y="197556"/>
          <a:ext cx="5750278" cy="95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spcAft>
              <a:spcPts val="400"/>
            </a:spcAft>
          </a:pPr>
          <a:r>
            <a:rPr lang="fr-FR" sz="800">
              <a:solidFill>
                <a:schemeClr val="dk1">
                  <a:alpha val="99000"/>
                </a:schemeClr>
              </a:solidFill>
              <a:latin typeface="Ebrima" panose="02000000000000000000" pitchFamily="2" charset="0"/>
              <a:ea typeface="Ebrima" panose="02000000000000000000" pitchFamily="2" charset="0"/>
              <a:cs typeface="Ebrima" panose="02000000000000000000" pitchFamily="2" charset="0"/>
            </a:rPr>
            <a:t>Outil proposé gratuitement pour accompagner les gestionnaires de petites et moyennent collectivités à réaliser des analyses et projections financières sans être expert dans ce domaine.</a:t>
          </a:r>
        </a:p>
        <a:p>
          <a:r>
            <a:rPr lang="fr-FR" sz="800">
              <a:solidFill>
                <a:schemeClr val="dk1">
                  <a:alpha val="99000"/>
                </a:schemeClr>
              </a:solidFill>
              <a:latin typeface="Ebrima" panose="02000000000000000000" pitchFamily="2" charset="0"/>
              <a:ea typeface="Ebrima" panose="02000000000000000000" pitchFamily="2" charset="0"/>
              <a:cs typeface="Ebrima" panose="02000000000000000000" pitchFamily="2" charset="0"/>
            </a:rPr>
            <a:t>💡Il est recommandé de consulter le guide d'utilisation ainsi que la rubrique d’ElanRural.fr consacrée à l’apprentissage de la méthode d’analyse financière des petites collectivités =&gt; [Cliquez-ici</a:t>
          </a:r>
          <a:r>
            <a:rPr lang="fr-FR" sz="800">
              <a:solidFill>
                <a:schemeClr val="dk1">
                  <a:alpha val="99000"/>
                </a:schemeClr>
              </a:solidFill>
            </a:rPr>
            <a:t>]</a:t>
          </a:r>
        </a:p>
        <a:p>
          <a:r>
            <a:rPr lang="fr-FR" sz="800">
              <a:solidFill>
                <a:schemeClr val="dk1">
                  <a:alpha val="99000"/>
                </a:schemeClr>
              </a:solidFill>
            </a:rPr>
            <a:t> Le fichier est dans sa première version. Nous sommes à l’écoute de toute proposition de modification : N’hésitez pas à transmettre un email à contact@elanrural.fr pour toute suggestion de modification ou signalement d’un bug.</a:t>
          </a:r>
        </a:p>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14</xdr:col>
      <xdr:colOff>238128</xdr:colOff>
      <xdr:row>1</xdr:row>
      <xdr:rowOff>119062</xdr:rowOff>
    </xdr:from>
    <xdr:to>
      <xdr:col>16</xdr:col>
      <xdr:colOff>631032</xdr:colOff>
      <xdr:row>8</xdr:row>
      <xdr:rowOff>92868</xdr:rowOff>
    </xdr:to>
    <xdr:pic>
      <xdr:nvPicPr>
        <xdr:cNvPr id="2" name="Image 1">
          <a:extLst>
            <a:ext uri="{FF2B5EF4-FFF2-40B4-BE49-F238E27FC236}">
              <a16:creationId xmlns:a16="http://schemas.microsoft.com/office/drawing/2014/main" id="{CA805157-7BDC-4776-A58C-F9A0B3A388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44566" y="381000"/>
          <a:ext cx="1250154" cy="1244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749300</xdr:colOff>
      <xdr:row>3</xdr:row>
      <xdr:rowOff>61913</xdr:rowOff>
    </xdr:from>
    <xdr:to>
      <xdr:col>13</xdr:col>
      <xdr:colOff>450848</xdr:colOff>
      <xdr:row>9</xdr:row>
      <xdr:rowOff>66674</xdr:rowOff>
    </xdr:to>
    <xdr:pic>
      <xdr:nvPicPr>
        <xdr:cNvPr id="2" name="Image 1">
          <a:extLst>
            <a:ext uri="{FF2B5EF4-FFF2-40B4-BE49-F238E27FC236}">
              <a16:creationId xmlns:a16="http://schemas.microsoft.com/office/drawing/2014/main" id="{98C10488-AFB7-491C-92F4-D898A555E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6738" y="871538"/>
          <a:ext cx="1260473" cy="123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690564</xdr:colOff>
      <xdr:row>2</xdr:row>
      <xdr:rowOff>47624</xdr:rowOff>
    </xdr:from>
    <xdr:to>
      <xdr:col>11</xdr:col>
      <xdr:colOff>402430</xdr:colOff>
      <xdr:row>8</xdr:row>
      <xdr:rowOff>74611</xdr:rowOff>
    </xdr:to>
    <xdr:pic>
      <xdr:nvPicPr>
        <xdr:cNvPr id="2" name="Image 1">
          <a:extLst>
            <a:ext uri="{FF2B5EF4-FFF2-40B4-BE49-F238E27FC236}">
              <a16:creationId xmlns:a16="http://schemas.microsoft.com/office/drawing/2014/main" id="{EF26A677-F4D6-4D53-9ADD-C9E2DE16F4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3189" y="500062"/>
          <a:ext cx="1259679" cy="1238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1103324</xdr:colOff>
      <xdr:row>4</xdr:row>
      <xdr:rowOff>134470</xdr:rowOff>
    </xdr:to>
    <xdr:pic>
      <xdr:nvPicPr>
        <xdr:cNvPr id="2" name="Image 1">
          <a:extLst>
            <a:ext uri="{FF2B5EF4-FFF2-40B4-BE49-F238E27FC236}">
              <a16:creationId xmlns:a16="http://schemas.microsoft.com/office/drawing/2014/main" id="{A595CAE3-D888-4668-B5BD-E8BB9FCA5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03324" cy="1060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EC65-FE7D-40A5-9F79-E7AEF29D0377}">
  <sheetPr codeName="Feuil1">
    <pageSetUpPr fitToPage="1"/>
  </sheetPr>
  <dimension ref="A1:F67"/>
  <sheetViews>
    <sheetView tabSelected="1" zoomScale="90" zoomScaleNormal="90" workbookViewId="0">
      <selection activeCell="C7" sqref="C7:D7"/>
    </sheetView>
  </sheetViews>
  <sheetFormatPr baseColWidth="10" defaultColWidth="11.5703125" defaultRowHeight="14.25" x14ac:dyDescent="0.25"/>
  <cols>
    <col min="1" max="1" width="4.28515625" style="30" customWidth="1"/>
    <col min="2" max="2" width="51.42578125" style="30" customWidth="1"/>
    <col min="3" max="3" width="6.42578125" style="30" customWidth="1"/>
    <col min="4" max="4" width="40.140625" style="30" customWidth="1"/>
    <col min="5" max="5" width="0.5703125" style="30" customWidth="1"/>
    <col min="6" max="6" width="36.7109375" style="30" customWidth="1"/>
    <col min="7" max="7" width="11.5703125" style="30"/>
    <col min="8" max="8" width="11.42578125" style="30" customWidth="1"/>
    <col min="9" max="16384" width="11.5703125" style="30"/>
  </cols>
  <sheetData>
    <row r="1" spans="2:6" ht="17.25" customHeight="1" x14ac:dyDescent="0.25">
      <c r="B1" s="439" t="s">
        <v>143</v>
      </c>
      <c r="C1" s="439"/>
      <c r="D1" s="439"/>
    </row>
    <row r="2" spans="2:6" ht="15" customHeight="1" x14ac:dyDescent="0.25">
      <c r="B2" s="388"/>
      <c r="C2" s="388"/>
      <c r="D2" s="388"/>
    </row>
    <row r="3" spans="2:6" ht="15" customHeight="1" x14ac:dyDescent="0.25">
      <c r="B3" s="388"/>
      <c r="C3" s="388"/>
      <c r="D3" s="388"/>
    </row>
    <row r="4" spans="2:6" ht="15" customHeight="1" x14ac:dyDescent="0.25">
      <c r="B4" s="388"/>
      <c r="C4" s="388"/>
      <c r="D4" s="388"/>
      <c r="F4" s="104"/>
    </row>
    <row r="5" spans="2:6" ht="27.95" customHeight="1" thickBot="1" x14ac:dyDescent="0.3">
      <c r="B5" s="389"/>
      <c r="C5" s="389"/>
      <c r="D5" s="389"/>
      <c r="F5" s="104"/>
    </row>
    <row r="6" spans="2:6" ht="15.75" x14ac:dyDescent="0.3">
      <c r="B6" s="440" t="s">
        <v>0</v>
      </c>
      <c r="C6" s="441"/>
      <c r="D6" s="442"/>
    </row>
    <row r="7" spans="2:6" x14ac:dyDescent="0.25">
      <c r="B7" s="349" t="s">
        <v>1</v>
      </c>
      <c r="C7" s="456"/>
      <c r="D7" s="457"/>
    </row>
    <row r="8" spans="2:6" ht="16.5" x14ac:dyDescent="0.3">
      <c r="B8" s="349" t="s">
        <v>2</v>
      </c>
      <c r="C8" s="458"/>
      <c r="D8" s="459"/>
      <c r="E8" s="33"/>
      <c r="F8" s="34" t="str">
        <f>"&gt;La rétrospective concernera les années " &amp; C8 &amp; " à " &amp; (C8 + 3) &amp;" la prospective de " &amp; (C8+4) &amp; " à " &amp; (C8+9)</f>
        <v>&gt;La rétrospective concernera les années  à 3 la prospective de 4 à 9</v>
      </c>
    </row>
    <row r="9" spans="2:6" ht="16.5" x14ac:dyDescent="0.3">
      <c r="B9" s="349" t="s">
        <v>95</v>
      </c>
      <c r="C9" s="456"/>
      <c r="D9" s="457"/>
      <c r="E9" s="33"/>
      <c r="F9" s="34" t="s">
        <v>96</v>
      </c>
    </row>
    <row r="10" spans="2:6" ht="16.5" x14ac:dyDescent="0.3">
      <c r="B10" s="350" t="s">
        <v>3</v>
      </c>
      <c r="C10" s="464" t="s">
        <v>4</v>
      </c>
      <c r="D10" s="465"/>
      <c r="E10" s="33"/>
      <c r="F10" s="34" t="s">
        <v>105</v>
      </c>
    </row>
    <row r="11" spans="2:6" x14ac:dyDescent="0.25">
      <c r="B11" s="349" t="s">
        <v>5</v>
      </c>
      <c r="C11" s="460"/>
      <c r="D11" s="461"/>
      <c r="E11" s="35"/>
      <c r="F11" s="34" t="s">
        <v>117</v>
      </c>
    </row>
    <row r="12" spans="2:6" x14ac:dyDescent="0.25">
      <c r="B12" s="350" t="s">
        <v>97</v>
      </c>
      <c r="C12" s="448"/>
      <c r="D12" s="449"/>
      <c r="E12" s="35"/>
      <c r="F12" s="156" t="s">
        <v>6</v>
      </c>
    </row>
    <row r="13" spans="2:6" x14ac:dyDescent="0.25">
      <c r="B13" s="351" t="str">
        <f>"Taux de FCTVA applicable au 01/01/" &amp; (C8+4)</f>
        <v>Taux de FCTVA applicable au 01/01/4</v>
      </c>
      <c r="C13" s="466">
        <v>0.16403999999999999</v>
      </c>
      <c r="D13" s="467"/>
      <c r="E13" s="35"/>
      <c r="F13" s="156" t="s">
        <v>6</v>
      </c>
    </row>
    <row r="14" spans="2:6" x14ac:dyDescent="0.25">
      <c r="B14" s="351" t="s">
        <v>138</v>
      </c>
      <c r="C14" s="456"/>
      <c r="D14" s="457"/>
      <c r="E14" s="35"/>
      <c r="F14" s="156" t="s">
        <v>140</v>
      </c>
    </row>
    <row r="15" spans="2:6" ht="15" thickBot="1" x14ac:dyDescent="0.3">
      <c r="B15" s="352" t="str">
        <f>"Encours de dette au 01/01/" &amp;C8 &amp;" "&amp;C10</f>
        <v>Encours de dette au 01/01/ en milliers d'euros</v>
      </c>
      <c r="C15" s="462"/>
      <c r="D15" s="463"/>
    </row>
    <row r="16" spans="2:6" ht="15" thickBot="1" x14ac:dyDescent="0.3"/>
    <row r="17" spans="1:6" ht="20.45" customHeight="1" x14ac:dyDescent="0.3">
      <c r="B17" s="450" t="s">
        <v>7</v>
      </c>
      <c r="C17" s="451"/>
      <c r="D17" s="452"/>
    </row>
    <row r="18" spans="1:6" ht="23.45" customHeight="1" x14ac:dyDescent="0.25">
      <c r="B18" s="453" t="s">
        <v>8</v>
      </c>
      <c r="C18" s="454"/>
      <c r="D18" s="455"/>
    </row>
    <row r="19" spans="1:6" x14ac:dyDescent="0.25">
      <c r="B19" s="222" t="s">
        <v>115</v>
      </c>
      <c r="C19" s="178"/>
      <c r="D19" s="223" t="s">
        <v>116</v>
      </c>
    </row>
    <row r="20" spans="1:6" x14ac:dyDescent="0.25">
      <c r="A20" s="31"/>
      <c r="B20" s="303" t="s">
        <v>9</v>
      </c>
      <c r="C20" s="178"/>
      <c r="D20" s="106"/>
      <c r="F20" s="433" t="s">
        <v>132</v>
      </c>
    </row>
    <row r="21" spans="1:6" x14ac:dyDescent="0.25">
      <c r="A21" s="438"/>
      <c r="B21" s="303" t="s">
        <v>10</v>
      </c>
      <c r="C21" s="178"/>
      <c r="D21" s="106"/>
    </row>
    <row r="22" spans="1:6" x14ac:dyDescent="0.25">
      <c r="A22" s="438"/>
      <c r="B22" s="173" t="s">
        <v>134</v>
      </c>
      <c r="C22" s="178"/>
      <c r="D22" s="106"/>
    </row>
    <row r="23" spans="1:6" x14ac:dyDescent="0.25">
      <c r="A23" s="438"/>
      <c r="B23" s="173" t="s">
        <v>134</v>
      </c>
      <c r="C23" s="178"/>
      <c r="D23" s="106"/>
    </row>
    <row r="24" spans="1:6" x14ac:dyDescent="0.25">
      <c r="A24" s="438"/>
      <c r="B24" s="173" t="s">
        <v>134</v>
      </c>
      <c r="C24" s="178"/>
      <c r="D24" s="106"/>
    </row>
    <row r="25" spans="1:6" x14ac:dyDescent="0.25">
      <c r="A25" s="176"/>
      <c r="B25" s="173" t="s">
        <v>134</v>
      </c>
      <c r="C25" s="178"/>
      <c r="D25" s="106"/>
    </row>
    <row r="26" spans="1:6" x14ac:dyDescent="0.25">
      <c r="A26" s="176"/>
      <c r="B26" s="173" t="s">
        <v>134</v>
      </c>
      <c r="C26" s="178"/>
      <c r="D26" s="106"/>
    </row>
    <row r="27" spans="1:6" x14ac:dyDescent="0.25">
      <c r="A27" s="177"/>
      <c r="B27" s="307" t="s">
        <v>134</v>
      </c>
      <c r="C27" s="178"/>
      <c r="D27" s="106"/>
    </row>
    <row r="28" spans="1:6" x14ac:dyDescent="0.25">
      <c r="A28" s="177"/>
      <c r="B28" s="173" t="s">
        <v>134</v>
      </c>
      <c r="C28" s="178"/>
      <c r="D28" s="174"/>
    </row>
    <row r="29" spans="1:6" x14ac:dyDescent="0.25">
      <c r="A29" s="177"/>
      <c r="B29" s="173" t="s">
        <v>134</v>
      </c>
      <c r="C29" s="178"/>
      <c r="D29" s="174"/>
    </row>
    <row r="30" spans="1:6" x14ac:dyDescent="0.25">
      <c r="A30" s="177"/>
      <c r="B30" s="173" t="s">
        <v>134</v>
      </c>
      <c r="C30" s="178"/>
      <c r="D30" s="174"/>
    </row>
    <row r="31" spans="1:6" x14ac:dyDescent="0.25">
      <c r="A31" s="177"/>
      <c r="B31" s="173" t="s">
        <v>134</v>
      </c>
      <c r="C31" s="178"/>
      <c r="D31" s="174"/>
    </row>
    <row r="32" spans="1:6" x14ac:dyDescent="0.25">
      <c r="A32" s="177"/>
      <c r="B32" s="173" t="s">
        <v>134</v>
      </c>
      <c r="C32" s="178"/>
      <c r="D32" s="174"/>
    </row>
    <row r="33" spans="1:4" x14ac:dyDescent="0.25">
      <c r="A33" s="177"/>
      <c r="B33" s="173" t="s">
        <v>134</v>
      </c>
      <c r="C33" s="178"/>
      <c r="D33" s="174"/>
    </row>
    <row r="34" spans="1:4" ht="15" thickBot="1" x14ac:dyDescent="0.3">
      <c r="A34" s="172"/>
      <c r="B34" s="305" t="s">
        <v>11</v>
      </c>
      <c r="C34" s="38"/>
      <c r="D34" s="304" t="s">
        <v>12</v>
      </c>
    </row>
    <row r="35" spans="1:4" ht="24" customHeight="1" x14ac:dyDescent="0.25">
      <c r="B35" s="453" t="s">
        <v>13</v>
      </c>
      <c r="C35" s="454"/>
      <c r="D35" s="455"/>
    </row>
    <row r="36" spans="1:4" x14ac:dyDescent="0.25">
      <c r="B36" s="224" t="s">
        <v>115</v>
      </c>
      <c r="C36" s="37"/>
      <c r="D36" s="223" t="s">
        <v>116</v>
      </c>
    </row>
    <row r="37" spans="1:4" ht="17.45" customHeight="1" x14ac:dyDescent="0.25">
      <c r="B37" s="303" t="s">
        <v>14</v>
      </c>
      <c r="C37" s="37"/>
      <c r="D37" s="306" t="s">
        <v>15</v>
      </c>
    </row>
    <row r="38" spans="1:4" ht="17.45" customHeight="1" x14ac:dyDescent="0.25">
      <c r="B38" s="105"/>
      <c r="C38" s="37"/>
      <c r="D38" s="306" t="s">
        <v>16</v>
      </c>
    </row>
    <row r="39" spans="1:4" ht="17.45" customHeight="1" x14ac:dyDescent="0.25">
      <c r="B39" s="105"/>
      <c r="C39" s="37"/>
      <c r="D39" s="106"/>
    </row>
    <row r="40" spans="1:4" ht="17.45" customHeight="1" x14ac:dyDescent="0.25">
      <c r="B40" s="105"/>
      <c r="C40" s="37"/>
      <c r="D40" s="106"/>
    </row>
    <row r="41" spans="1:4" ht="18" customHeight="1" x14ac:dyDescent="0.25">
      <c r="B41" s="105"/>
      <c r="C41" s="37"/>
      <c r="D41" s="106"/>
    </row>
    <row r="42" spans="1:4" ht="18" customHeight="1" x14ac:dyDescent="0.25">
      <c r="B42" s="129"/>
      <c r="C42" s="37"/>
      <c r="D42" s="130"/>
    </row>
    <row r="43" spans="1:4" ht="18" customHeight="1" x14ac:dyDescent="0.25">
      <c r="B43" s="129"/>
      <c r="C43" s="37"/>
      <c r="D43" s="130"/>
    </row>
    <row r="44" spans="1:4" ht="18" customHeight="1" x14ac:dyDescent="0.25">
      <c r="B44" s="129"/>
      <c r="C44" s="37"/>
      <c r="D44" s="130"/>
    </row>
    <row r="45" spans="1:4" ht="17.45" customHeight="1" x14ac:dyDescent="0.25">
      <c r="B45" s="129"/>
      <c r="C45" s="37"/>
      <c r="D45" s="130"/>
    </row>
    <row r="46" spans="1:4" ht="15" thickBot="1" x14ac:dyDescent="0.3">
      <c r="B46" s="305" t="s">
        <v>17</v>
      </c>
      <c r="C46" s="38"/>
      <c r="D46" s="304" t="s">
        <v>18</v>
      </c>
    </row>
    <row r="47" spans="1:4" s="90" customFormat="1" ht="15" thickBot="1" x14ac:dyDescent="0.3"/>
    <row r="48" spans="1:4" s="90" customFormat="1" ht="15.75" x14ac:dyDescent="0.3">
      <c r="B48" s="440" t="s">
        <v>19</v>
      </c>
      <c r="C48" s="441"/>
      <c r="D48" s="442"/>
    </row>
    <row r="49" spans="2:6" s="90" customFormat="1" ht="16.5" x14ac:dyDescent="0.3">
      <c r="B49" s="32" t="s">
        <v>20</v>
      </c>
      <c r="C49" s="443"/>
      <c r="D49" s="444"/>
      <c r="F49" s="447" t="str">
        <f>"L'analyse des dépenses, recettes et indicateurs de fonctionnnement sera donc comparée sur la période " &amp;C49 &amp;"/" &amp;C50</f>
        <v>L'analyse des dépenses, recettes et indicateurs de fonctionnnement sera donc comparée sur la période /</v>
      </c>
    </row>
    <row r="50" spans="2:6" s="90" customFormat="1" ht="17.25" thickBot="1" x14ac:dyDescent="0.35">
      <c r="B50" s="36" t="s">
        <v>21</v>
      </c>
      <c r="C50" s="445"/>
      <c r="D50" s="446"/>
      <c r="F50" s="447"/>
    </row>
    <row r="51" spans="2:6" s="90" customFormat="1" x14ac:dyDescent="0.25">
      <c r="C51" s="31"/>
      <c r="D51" s="31"/>
    </row>
    <row r="52" spans="2:6" s="90" customFormat="1" hidden="1" x14ac:dyDescent="0.25">
      <c r="B52" s="90" t="s">
        <v>22</v>
      </c>
      <c r="D52" s="30" t="str">
        <f>+B20</f>
        <v>Charges de personnel</v>
      </c>
    </row>
    <row r="53" spans="2:6" s="90" customFormat="1" hidden="1" x14ac:dyDescent="0.25">
      <c r="B53" s="90" t="s">
        <v>4</v>
      </c>
      <c r="D53" s="175" t="str">
        <f t="shared" ref="D53:D60" si="0">B22</f>
        <v xml:space="preserve"> </v>
      </c>
    </row>
    <row r="54" spans="2:6" s="90" customFormat="1" hidden="1" x14ac:dyDescent="0.25">
      <c r="B54" s="90" t="s">
        <v>23</v>
      </c>
      <c r="D54" s="175" t="str">
        <f t="shared" si="0"/>
        <v xml:space="preserve"> </v>
      </c>
    </row>
    <row r="55" spans="2:6" s="90" customFormat="1" hidden="1" x14ac:dyDescent="0.25">
      <c r="B55" s="90">
        <f>C8</f>
        <v>0</v>
      </c>
      <c r="D55" s="175" t="str">
        <f t="shared" si="0"/>
        <v xml:space="preserve"> </v>
      </c>
    </row>
    <row r="56" spans="2:6" hidden="1" x14ac:dyDescent="0.25">
      <c r="B56" s="30">
        <f>B55+1</f>
        <v>1</v>
      </c>
      <c r="D56" s="175" t="str">
        <f t="shared" si="0"/>
        <v xml:space="preserve"> </v>
      </c>
    </row>
    <row r="57" spans="2:6" hidden="1" x14ac:dyDescent="0.25">
      <c r="B57" s="30">
        <f t="shared" ref="B57:B64" si="1">B56+1</f>
        <v>2</v>
      </c>
      <c r="D57" s="175" t="str">
        <f t="shared" si="0"/>
        <v xml:space="preserve"> </v>
      </c>
    </row>
    <row r="58" spans="2:6" hidden="1" x14ac:dyDescent="0.25">
      <c r="B58" s="30">
        <f t="shared" si="1"/>
        <v>3</v>
      </c>
      <c r="D58" s="175" t="str">
        <f t="shared" si="0"/>
        <v xml:space="preserve"> </v>
      </c>
    </row>
    <row r="59" spans="2:6" hidden="1" x14ac:dyDescent="0.25">
      <c r="B59" s="30">
        <f t="shared" si="1"/>
        <v>4</v>
      </c>
      <c r="D59" s="175" t="str">
        <f t="shared" si="0"/>
        <v xml:space="preserve"> </v>
      </c>
    </row>
    <row r="60" spans="2:6" hidden="1" x14ac:dyDescent="0.25">
      <c r="B60" s="30">
        <f t="shared" si="1"/>
        <v>5</v>
      </c>
      <c r="D60" s="175" t="str">
        <f t="shared" si="0"/>
        <v xml:space="preserve"> </v>
      </c>
    </row>
    <row r="61" spans="2:6" hidden="1" x14ac:dyDescent="0.25">
      <c r="B61" s="30">
        <f t="shared" si="1"/>
        <v>6</v>
      </c>
      <c r="D61" s="175" t="str">
        <f t="shared" ref="D61:D65" si="2">B30</f>
        <v xml:space="preserve"> </v>
      </c>
    </row>
    <row r="62" spans="2:6" hidden="1" x14ac:dyDescent="0.25">
      <c r="B62" s="30">
        <f>B61+1</f>
        <v>7</v>
      </c>
      <c r="D62" s="175" t="str">
        <f t="shared" si="2"/>
        <v xml:space="preserve"> </v>
      </c>
    </row>
    <row r="63" spans="2:6" hidden="1" x14ac:dyDescent="0.25">
      <c r="B63" s="30">
        <f t="shared" si="1"/>
        <v>8</v>
      </c>
      <c r="D63" s="175" t="str">
        <f t="shared" si="2"/>
        <v xml:space="preserve"> </v>
      </c>
    </row>
    <row r="64" spans="2:6" hidden="1" x14ac:dyDescent="0.25">
      <c r="B64" s="30">
        <f t="shared" si="1"/>
        <v>9</v>
      </c>
      <c r="D64" s="175" t="str">
        <f t="shared" si="2"/>
        <v xml:space="preserve"> </v>
      </c>
    </row>
    <row r="65" spans="2:4" hidden="1" x14ac:dyDescent="0.25">
      <c r="B65" s="30" t="s">
        <v>139</v>
      </c>
      <c r="D65" s="175" t="str">
        <f t="shared" si="2"/>
        <v>Autres dépenses réelles de fonctionnement</v>
      </c>
    </row>
    <row r="66" spans="2:4" hidden="1" x14ac:dyDescent="0.25">
      <c r="B66" s="30" t="s">
        <v>141</v>
      </c>
    </row>
    <row r="67" spans="2:4" hidden="1" x14ac:dyDescent="0.25">
      <c r="B67" s="30" t="s">
        <v>142</v>
      </c>
    </row>
  </sheetData>
  <sheetProtection algorithmName="SHA-512" hashValue="48SeGui7ipQe3lh/ISGmvuLNq89/4LWCknQYoZNuLcO+WixmCenKAUnHICV1ghfz7XV1fcQeyJkGmeNO9UvyFQ==" saltValue="gGXcdD58wUInjeMjZ9abkg==" spinCount="100000" sheet="1" objects="1" scenarios="1"/>
  <mergeCells count="18">
    <mergeCell ref="C9:D9"/>
    <mergeCell ref="C14:D14"/>
    <mergeCell ref="B1:D1"/>
    <mergeCell ref="B48:D48"/>
    <mergeCell ref="C49:D49"/>
    <mergeCell ref="C50:D50"/>
    <mergeCell ref="F49:F50"/>
    <mergeCell ref="C12:D12"/>
    <mergeCell ref="B6:D6"/>
    <mergeCell ref="B17:D17"/>
    <mergeCell ref="B18:D18"/>
    <mergeCell ref="B35:D35"/>
    <mergeCell ref="C7:D7"/>
    <mergeCell ref="C8:D8"/>
    <mergeCell ref="C11:D11"/>
    <mergeCell ref="C15:D15"/>
    <mergeCell ref="C10:D10"/>
    <mergeCell ref="C13:D13"/>
  </mergeCells>
  <dataValidations count="4">
    <dataValidation type="list" allowBlank="1" showInputMessage="1" showErrorMessage="1" sqref="C10:D10" xr:uid="{B211050D-C665-475C-962F-6F4B0400204A}">
      <formula1>$B$52:$B$54</formula1>
    </dataValidation>
    <dataValidation type="list" allowBlank="1" showInputMessage="1" showErrorMessage="1" sqref="C49:D49" xr:uid="{15BF90B1-2BFA-4F45-9F2B-5A57EA5BBD73}">
      <formula1>$B$55:$B$62</formula1>
    </dataValidation>
    <dataValidation type="list" errorStyle="warning" allowBlank="1" showInputMessage="1" showErrorMessage="1" errorTitle="Saisie non conforme" error="L'année sélectionnée doit être compris dans la période de la prospective." sqref="C50:D50" xr:uid="{F06B2906-3048-4091-A24C-50EC45BE3340}">
      <formula1>B59:B64</formula1>
    </dataValidation>
    <dataValidation type="list" errorStyle="warning" allowBlank="1" showInputMessage="1" showErrorMessage="1" errorTitle="Saisie non conforme" error="Merci de choisir parmis les trois entrées possibles : N+2 ; N+1 ou N ." sqref="C14:D14" xr:uid="{F4B4D30C-FDEF-4FF5-ADC6-8A46E66FA284}">
      <formula1>$B$65:$B$67</formula1>
    </dataValidation>
  </dataValidations>
  <pageMargins left="0.7" right="0.7"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306F-7C9C-4375-BE2D-2E746345135B}">
  <sheetPr codeName="Feuil2">
    <pageSetUpPr fitToPage="1"/>
  </sheetPr>
  <dimension ref="A1:S57"/>
  <sheetViews>
    <sheetView topLeftCell="A11" zoomScale="80" zoomScaleNormal="80" workbookViewId="0">
      <selection activeCell="E55" sqref="E55"/>
    </sheetView>
  </sheetViews>
  <sheetFormatPr baseColWidth="10" defaultColWidth="11.5703125" defaultRowHeight="14.25" x14ac:dyDescent="0.25"/>
  <cols>
    <col min="1" max="1" width="57.42578125" style="39" customWidth="1"/>
    <col min="2" max="2" width="9.7109375" style="39" customWidth="1"/>
    <col min="3" max="6" width="11.7109375" style="39" customWidth="1"/>
    <col min="7" max="7" width="14.85546875" style="39" customWidth="1"/>
    <col min="8" max="13" width="11.7109375" style="39" customWidth="1"/>
    <col min="14" max="14" width="1.28515625" style="39" customWidth="1"/>
    <col min="15" max="15" width="11.5703125" style="39" customWidth="1"/>
    <col min="16" max="16" width="1.28515625" style="39" customWidth="1"/>
    <col min="17" max="16384" width="11.5703125" style="39"/>
  </cols>
  <sheetData>
    <row r="1" spans="1:19" ht="21" thickBot="1" x14ac:dyDescent="0.4">
      <c r="A1" s="473" t="s">
        <v>8</v>
      </c>
      <c r="B1" s="474"/>
      <c r="C1" s="474"/>
      <c r="D1" s="474"/>
      <c r="E1" s="474"/>
      <c r="F1" s="474"/>
      <c r="G1" s="474"/>
      <c r="H1" s="474"/>
      <c r="I1" s="474"/>
      <c r="J1" s="474"/>
      <c r="K1" s="474"/>
      <c r="L1" s="474"/>
      <c r="M1" s="474"/>
      <c r="N1" s="474"/>
      <c r="O1" s="474"/>
      <c r="P1" s="474"/>
      <c r="Q1" s="475"/>
    </row>
    <row r="2" spans="1:19" ht="16.149999999999999" customHeight="1" thickBot="1" x14ac:dyDescent="0.3">
      <c r="A2" s="472" t="str">
        <f>"Les montants ci-dessous sont exprimés " &amp; '1-Informations-paramètres '!C10</f>
        <v>Les montants ci-dessous sont exprimés en milliers d'euros</v>
      </c>
      <c r="B2" s="472"/>
      <c r="C2" s="472"/>
      <c r="D2" s="472"/>
      <c r="E2" s="472"/>
      <c r="F2" s="472"/>
      <c r="G2" s="472"/>
      <c r="H2" s="472"/>
      <c r="I2" s="472"/>
      <c r="J2" s="472"/>
      <c r="K2" s="472"/>
      <c r="L2" s="472"/>
      <c r="M2" s="472"/>
    </row>
    <row r="3" spans="1:19" ht="16.5" x14ac:dyDescent="0.3">
      <c r="A3" s="203" t="s">
        <v>101</v>
      </c>
      <c r="B3" s="494">
        <f>C9</f>
        <v>0</v>
      </c>
      <c r="C3" s="495"/>
    </row>
    <row r="4" spans="1:19" x14ac:dyDescent="0.25">
      <c r="A4" s="107" t="s">
        <v>102</v>
      </c>
      <c r="B4" s="490"/>
      <c r="C4" s="491"/>
      <c r="D4" s="390" t="s">
        <v>121</v>
      </c>
    </row>
    <row r="5" spans="1:19" ht="15" thickBot="1" x14ac:dyDescent="0.3">
      <c r="A5" s="108" t="s">
        <v>24</v>
      </c>
      <c r="B5" s="492"/>
      <c r="C5" s="493"/>
      <c r="D5" s="391" t="s">
        <v>120</v>
      </c>
      <c r="F5" s="40"/>
      <c r="H5" s="75"/>
      <c r="I5" s="355"/>
      <c r="J5" s="355"/>
      <c r="K5" s="355"/>
      <c r="L5" s="355"/>
      <c r="M5" s="355"/>
    </row>
    <row r="6" spans="1:19" ht="15" thickBot="1" x14ac:dyDescent="0.3">
      <c r="C6" s="41"/>
    </row>
    <row r="7" spans="1:19" ht="23.25" customHeight="1" thickBot="1" x14ac:dyDescent="0.3">
      <c r="A7" s="42"/>
      <c r="C7" s="484" t="s">
        <v>25</v>
      </c>
      <c r="D7" s="485"/>
      <c r="E7" s="485"/>
      <c r="F7" s="486"/>
      <c r="H7" s="487" t="s">
        <v>26</v>
      </c>
      <c r="I7" s="488"/>
      <c r="J7" s="488"/>
      <c r="K7" s="488"/>
      <c r="L7" s="488"/>
      <c r="M7" s="489"/>
      <c r="Q7" s="75"/>
    </row>
    <row r="8" spans="1:19" ht="4.9000000000000004" hidden="1" customHeight="1" thickBot="1" x14ac:dyDescent="0.3"/>
    <row r="9" spans="1:19" ht="27" customHeight="1" x14ac:dyDescent="0.25">
      <c r="A9" s="189" t="s">
        <v>27</v>
      </c>
      <c r="B9" s="190" t="s">
        <v>103</v>
      </c>
      <c r="C9" s="297">
        <f>'1-Informations-paramètres '!C8</f>
        <v>0</v>
      </c>
      <c r="D9" s="298">
        <f>C9+1</f>
        <v>1</v>
      </c>
      <c r="E9" s="298">
        <f>D9+1</f>
        <v>2</v>
      </c>
      <c r="F9" s="298">
        <f>E9+1</f>
        <v>3</v>
      </c>
      <c r="G9" s="480" t="s">
        <v>28</v>
      </c>
      <c r="H9" s="299">
        <f>F9+1</f>
        <v>4</v>
      </c>
      <c r="I9" s="298">
        <f>H9+1</f>
        <v>5</v>
      </c>
      <c r="J9" s="298">
        <f>I9+1</f>
        <v>6</v>
      </c>
      <c r="K9" s="298">
        <f>J9+1</f>
        <v>7</v>
      </c>
      <c r="L9" s="298">
        <f>K9+1</f>
        <v>8</v>
      </c>
      <c r="M9" s="300">
        <f>L9+1</f>
        <v>9</v>
      </c>
      <c r="O9" s="225" t="str">
        <f>"Evolution " &amp;C9 &amp;"/" &amp;F9</f>
        <v>Evolution 0/3</v>
      </c>
      <c r="Q9" s="225" t="str">
        <f>"Evolution " &amp;'1-Informations-paramètres '!C49 &amp;"/" &amp;'1-Informations-paramètres '!C50</f>
        <v>Evolution /</v>
      </c>
    </row>
    <row r="10" spans="1:19" ht="16.5" x14ac:dyDescent="0.3">
      <c r="A10" s="43" t="s">
        <v>29</v>
      </c>
      <c r="B10" s="44"/>
      <c r="C10" s="62"/>
      <c r="D10" s="63"/>
      <c r="E10" s="63"/>
      <c r="F10" s="63"/>
      <c r="G10" s="481"/>
      <c r="H10" s="45">
        <f t="shared" ref="H10:M10" si="0">SUM(H11:H26)</f>
        <v>0</v>
      </c>
      <c r="I10" s="46">
        <f t="shared" si="0"/>
        <v>0</v>
      </c>
      <c r="J10" s="46">
        <f t="shared" si="0"/>
        <v>0</v>
      </c>
      <c r="K10" s="46">
        <f t="shared" si="0"/>
        <v>0</v>
      </c>
      <c r="L10" s="46">
        <f t="shared" si="0"/>
        <v>0</v>
      </c>
      <c r="M10" s="47">
        <f t="shared" si="0"/>
        <v>0</v>
      </c>
      <c r="O10" s="91">
        <f>IFERROR((F10-C10)/C10,0)</f>
        <v>0</v>
      </c>
      <c r="P10" s="234"/>
      <c r="Q10" s="91">
        <f>-IFERROR((INDEX(C10:M10, MATCH('1-Informations-paramètres '!C$49, $C$9:$M$9, 0)) - INDEX(C10:M10, MATCH('1-Informations-paramètres '!C$50, $C$9:$M$9, 0))) / INDEX(C10:F10, MATCH('1-Informations-paramètres '!C$49, $C$9:$M$9, 0)), "0")</f>
        <v>0</v>
      </c>
      <c r="S10" s="41"/>
    </row>
    <row r="11" spans="1:19" x14ac:dyDescent="0.25">
      <c r="A11" s="405" t="s">
        <v>9</v>
      </c>
      <c r="B11" s="424" t="s">
        <v>30</v>
      </c>
      <c r="C11" s="64"/>
      <c r="D11" s="65"/>
      <c r="E11" s="65"/>
      <c r="F11" s="65"/>
      <c r="G11" s="360"/>
      <c r="H11" s="49">
        <f>IFERROR(F11+(VLOOKUP(G11,Scénario_Evolution,3,FALSE)*F11)+SUMIFS('3-Variations du fonctionnement'!$C$17:$C$26,'3-Variations du fonctionnement'!$B$17:$B$26,'2-Section de Fonctionnement'!A11),0)</f>
        <v>0</v>
      </c>
      <c r="I11" s="50">
        <f>IFERROR(H11+(VLOOKUP(G11,Scénario_Evolution,4,FALSE)*H11)+SUMIFS('3-Variations du fonctionnement'!$D$17:$D$26,'3-Variations du fonctionnement'!$B$17:$B$26,'2-Section de Fonctionnement'!A11),0)</f>
        <v>0</v>
      </c>
      <c r="J11" s="50">
        <f>IFERROR(I11+(VLOOKUP(G11,Scénario_Evolution,5,FALSE)*I11)+SUMIFS('3-Variations du fonctionnement'!$E$17:$E$26,'3-Variations du fonctionnement'!$B$17:$B$26,'2-Section de Fonctionnement'!A11),0)</f>
        <v>0</v>
      </c>
      <c r="K11" s="50">
        <f>IFERROR(J11+(VLOOKUP(G11,Scénario_Evolution,6,FALSE)*J11)+SUMIFS('3-Variations du fonctionnement'!$F$17:$F$26,'3-Variations du fonctionnement'!$B$17:$B$26,'2-Section de Fonctionnement'!A11),0)</f>
        <v>0</v>
      </c>
      <c r="L11" s="50">
        <f>IFERROR(K11+(VLOOKUP(G11,Scénario_Evolution,7,FALSE)*K11)+SUMIFS('3-Variations du fonctionnement'!$G$17:$G$26,'3-Variations du fonctionnement'!$B$17:$B$26,'2-Section de Fonctionnement'!A11),0)</f>
        <v>0</v>
      </c>
      <c r="M11" s="51">
        <f>IFERROR(L11+(VLOOKUP(G11,Scénario_Evolution,8,FALSE)*L11)+SUMIFS('3-Variations du fonctionnement'!$H$17:$H$26,'3-Variations du fonctionnement'!$B$17:$B$26,'2-Section de Fonctionnement'!A11),0)</f>
        <v>0</v>
      </c>
      <c r="O11" s="236">
        <f t="shared" ref="O11:O26" si="1">IFERROR((F11-C11)/C11,0)</f>
        <v>0</v>
      </c>
      <c r="P11" s="234"/>
      <c r="Q11" s="236">
        <f>-IFERROR((INDEX(C11:M11, MATCH('1-Informations-paramètres '!C$49, $C$9:$M$9, 0)) - INDEX(C11:M11, MATCH('1-Informations-paramètres '!C$50, $C$9:$M$9, 0))) / INDEX(C11:F11, MATCH('1-Informations-paramètres '!C$49, $C$9:$M$9, 0)), "0")</f>
        <v>0</v>
      </c>
      <c r="R11" s="39" t="str">
        <f>IFERROR((INDEX(C11:F11, MATCH(Q$4, $C$9:$F$9, 0)) - INDEX(C11:F11, MATCH(R$4, $C$9:$F$9, 0))) / INDEX(C11:F11, MATCH(Q$4, $C$9:$F$9, 0)) * 100, "")</f>
        <v/>
      </c>
    </row>
    <row r="12" spans="1:19" x14ac:dyDescent="0.25">
      <c r="A12" s="405" t="s">
        <v>10</v>
      </c>
      <c r="B12" s="424" t="s">
        <v>30</v>
      </c>
      <c r="C12" s="64"/>
      <c r="D12" s="65"/>
      <c r="E12" s="65"/>
      <c r="F12" s="65"/>
      <c r="G12" s="407" t="s">
        <v>114</v>
      </c>
      <c r="H12" s="49">
        <f>IFERROR('5-Recours à la dette '!F50,0)</f>
        <v>0</v>
      </c>
      <c r="I12" s="49">
        <f>IFERROR('5-Recours à la dette '!G50,0)</f>
        <v>0</v>
      </c>
      <c r="J12" s="49">
        <f>IFERROR('5-Recours à la dette '!H50,0)</f>
        <v>0</v>
      </c>
      <c r="K12" s="49">
        <f>IFERROR('5-Recours à la dette '!I50,0)</f>
        <v>0</v>
      </c>
      <c r="L12" s="49">
        <f>IFERROR('5-Recours à la dette '!J50,0)</f>
        <v>0</v>
      </c>
      <c r="M12" s="52">
        <f>IFERROR('5-Recours à la dette '!K50,0)</f>
        <v>0</v>
      </c>
      <c r="O12" s="236">
        <f t="shared" si="1"/>
        <v>0</v>
      </c>
      <c r="P12" s="234"/>
      <c r="Q12" s="236">
        <f>-IFERROR((INDEX(C12:M12, MATCH('1-Informations-paramètres '!C$49, $C$9:$M$9, 0)) - INDEX(C12:M12, MATCH('1-Informations-paramètres '!C$50, $C$9:$M$9, 0))) / INDEX(C12:F12, MATCH('1-Informations-paramètres '!C$49, $C$9:$M$9, 0)), "0")</f>
        <v>0</v>
      </c>
    </row>
    <row r="13" spans="1:19" x14ac:dyDescent="0.25">
      <c r="A13" s="123"/>
      <c r="B13" s="409"/>
      <c r="C13" s="64"/>
      <c r="D13" s="65"/>
      <c r="E13" s="65"/>
      <c r="F13" s="65"/>
      <c r="G13" s="360"/>
      <c r="H13" s="49">
        <f>IFERROR(F13+(VLOOKUP(G13,Scénario_Evolution,3,FALSE)*F13)+SUMIFS('3-Variations du fonctionnement'!$C$17:$C$26,'3-Variations du fonctionnement'!$B$17:$B$26,'2-Section de Fonctionnement'!A13),0)</f>
        <v>0</v>
      </c>
      <c r="I13" s="50">
        <f>IFERROR(H13+(VLOOKUP(G13,Scénario_Evolution,4,FALSE)*H13)+SUMIFS('3-Variations du fonctionnement'!$D$17:$D$26,'3-Variations du fonctionnement'!$B$17:$B$26,'2-Section de Fonctionnement'!A13),0)</f>
        <v>0</v>
      </c>
      <c r="J13" s="50">
        <f>IFERROR(I13+(VLOOKUP(G13,Scénario_Evolution,5,FALSE)*I13)+SUMIFS('3-Variations du fonctionnement'!$E$17:$E$26,'3-Variations du fonctionnement'!$B$17:$B$26,'2-Section de Fonctionnement'!A13),0)</f>
        <v>0</v>
      </c>
      <c r="K13" s="50">
        <f>IFERROR(J13+(VLOOKUP(G13,Scénario_Evolution,6,FALSE)*J13)+SUMIFS('3-Variations du fonctionnement'!$F$17:$F$26,'3-Variations du fonctionnement'!$B$17:$B$26,'2-Section de Fonctionnement'!A13),0)</f>
        <v>0</v>
      </c>
      <c r="L13" s="50">
        <f>IFERROR(K13+(VLOOKUP(G13,Scénario_Evolution,7,FALSE)*K13)+SUMIFS('3-Variations du fonctionnement'!$G$17:$G$26,'3-Variations du fonctionnement'!$B$17:$B$26,'2-Section de Fonctionnement'!A13),0)</f>
        <v>0</v>
      </c>
      <c r="M13" s="51">
        <f>IFERROR(L13+(VLOOKUP(G13,Scénario_Evolution,8,FALSE)*L13)+SUMIFS('3-Variations du fonctionnement'!$H$17:$H$26,'3-Variations du fonctionnement'!$B$17:$B$26,'2-Section de Fonctionnement'!A13),0)</f>
        <v>0</v>
      </c>
      <c r="O13" s="236">
        <f t="shared" si="1"/>
        <v>0</v>
      </c>
      <c r="P13" s="234"/>
      <c r="Q13" s="236">
        <f>-IFERROR((INDEX(C13:M13, MATCH('1-Informations-paramètres '!C$49, $C$9:$M$9, 0)) - INDEX(C13:M13, MATCH('1-Informations-paramètres '!C$50, $C$9:$M$9, 0))) / INDEX(C13:F13, MATCH('1-Informations-paramètres '!C$49, $C$9:$M$9, 0)), "0")</f>
        <v>0</v>
      </c>
    </row>
    <row r="14" spans="1:19" x14ac:dyDescent="0.25">
      <c r="A14" s="123"/>
      <c r="B14" s="409"/>
      <c r="C14" s="64"/>
      <c r="D14" s="65"/>
      <c r="E14" s="65"/>
      <c r="F14" s="65"/>
      <c r="G14" s="360"/>
      <c r="H14" s="49">
        <f>IFERROR(F14+(VLOOKUP(G14,Scénario_Evolution,3,FALSE)*F14)+SUMIFS('3-Variations du fonctionnement'!$C$17:$C$26,'3-Variations du fonctionnement'!$B$17:$B$26,'2-Section de Fonctionnement'!A14),0)</f>
        <v>0</v>
      </c>
      <c r="I14" s="50">
        <f>IFERROR(H14+(VLOOKUP(G14,Scénario_Evolution,4,FALSE)*H14)+SUMIFS('3-Variations du fonctionnement'!$D$17:$D$26,'3-Variations du fonctionnement'!$B$17:$B$26,'2-Section de Fonctionnement'!A14),0)</f>
        <v>0</v>
      </c>
      <c r="J14" s="50">
        <f>IFERROR(I14+(VLOOKUP(G14,Scénario_Evolution,5,FALSE)*I14)+SUMIFS('3-Variations du fonctionnement'!$E$17:$E$26,'3-Variations du fonctionnement'!$B$17:$B$26,'2-Section de Fonctionnement'!A14),0)</f>
        <v>0</v>
      </c>
      <c r="K14" s="50">
        <f>IFERROR(J14+(VLOOKUP(G14,Scénario_Evolution,6,FALSE)*J14)+SUMIFS('3-Variations du fonctionnement'!$F$17:$F$26,'3-Variations du fonctionnement'!$B$17:$B$26,'2-Section de Fonctionnement'!A14),0)</f>
        <v>0</v>
      </c>
      <c r="L14" s="50">
        <f>IFERROR(K14+(VLOOKUP(G14,Scénario_Evolution,7,FALSE)*K14)+SUMIFS('3-Variations du fonctionnement'!$G$17:$G$26,'3-Variations du fonctionnement'!$B$17:$B$26,'2-Section de Fonctionnement'!A14),0)</f>
        <v>0</v>
      </c>
      <c r="M14" s="51">
        <f>IFERROR(L14+(VLOOKUP(G14,Scénario_Evolution,8,FALSE)*L14)+SUMIFS('3-Variations du fonctionnement'!$H$17:$H$26,'3-Variations du fonctionnement'!$B$17:$B$26,'2-Section de Fonctionnement'!A14),0)</f>
        <v>0</v>
      </c>
      <c r="O14" s="236">
        <f t="shared" si="1"/>
        <v>0</v>
      </c>
      <c r="P14" s="234"/>
      <c r="Q14" s="236">
        <f>-IFERROR((INDEX(C14:M14, MATCH('1-Informations-paramètres '!C$49, $C$9:$M$9, 0)) - INDEX(C14:M14, MATCH('1-Informations-paramètres '!C$50, $C$9:$M$9, 0))) / INDEX(C14:F14, MATCH('1-Informations-paramètres '!C$49, $C$9:$M$9, 0)), "0")</f>
        <v>0</v>
      </c>
    </row>
    <row r="15" spans="1:19" x14ac:dyDescent="0.25">
      <c r="A15" s="123"/>
      <c r="B15" s="409"/>
      <c r="C15" s="64"/>
      <c r="D15" s="65"/>
      <c r="E15" s="65"/>
      <c r="F15" s="65"/>
      <c r="G15" s="360"/>
      <c r="H15" s="49">
        <f>IFERROR(F15+(VLOOKUP(G15,Scénario_Evolution,3,FALSE)*F15)+SUMIFS('3-Variations du fonctionnement'!$C$17:$C$26,'3-Variations du fonctionnement'!$B$17:$B$26,'2-Section de Fonctionnement'!A15),0)</f>
        <v>0</v>
      </c>
      <c r="I15" s="50">
        <f>IFERROR(H15+(VLOOKUP(G15,Scénario_Evolution,4,FALSE)*H15)+SUMIFS('3-Variations du fonctionnement'!$D$17:$D$26,'3-Variations du fonctionnement'!$B$17:$B$26,'2-Section de Fonctionnement'!A15),0)</f>
        <v>0</v>
      </c>
      <c r="J15" s="50">
        <f>IFERROR(I15+(VLOOKUP(G15,Scénario_Evolution,5,FALSE)*I15)+SUMIFS('3-Variations du fonctionnement'!$E$17:$E$26,'3-Variations du fonctionnement'!$B$17:$B$26,'2-Section de Fonctionnement'!A15),0)</f>
        <v>0</v>
      </c>
      <c r="K15" s="50">
        <f>IFERROR(J15+(VLOOKUP(G15,Scénario_Evolution,6,FALSE)*J15)+SUMIFS('3-Variations du fonctionnement'!$F$17:$F$26,'3-Variations du fonctionnement'!$B$17:$B$26,'2-Section de Fonctionnement'!A15),0)</f>
        <v>0</v>
      </c>
      <c r="L15" s="50">
        <f>IFERROR(K15+(VLOOKUP(G15,Scénario_Evolution,7,FALSE)*K15)+SUMIFS('3-Variations du fonctionnement'!$G$17:$G$26,'3-Variations du fonctionnement'!$B$17:$B$26,'2-Section de Fonctionnement'!A15),0)</f>
        <v>0</v>
      </c>
      <c r="M15" s="51">
        <f>IFERROR(L15+(VLOOKUP(G15,Scénario_Evolution,8,FALSE)*L15)+SUMIFS('3-Variations du fonctionnement'!$H$17:$H$26,'3-Variations du fonctionnement'!$B$17:$B$26,'2-Section de Fonctionnement'!A15),0)</f>
        <v>0</v>
      </c>
      <c r="O15" s="236">
        <f t="shared" si="1"/>
        <v>0</v>
      </c>
      <c r="P15" s="234"/>
      <c r="Q15" s="236">
        <f>-IFERROR((INDEX(C15:M15, MATCH('1-Informations-paramètres '!C$49, $C$9:$M$9, 0)) - INDEX(C15:M15, MATCH('1-Informations-paramètres '!C$50, $C$9:$M$9, 0))) / INDEX(C15:F15, MATCH('1-Informations-paramètres '!C$49, $C$9:$M$9, 0)), "0")</f>
        <v>0</v>
      </c>
    </row>
    <row r="16" spans="1:19" x14ac:dyDescent="0.25">
      <c r="A16" s="123"/>
      <c r="B16" s="409"/>
      <c r="C16" s="64"/>
      <c r="D16" s="65"/>
      <c r="E16" s="65"/>
      <c r="F16" s="65"/>
      <c r="G16" s="360"/>
      <c r="H16" s="49">
        <f>IFERROR(F16+(VLOOKUP(G16,Scénario_Evolution,3,FALSE)*F16)+SUMIFS('3-Variations du fonctionnement'!$C$17:$C$26,'3-Variations du fonctionnement'!$B$17:$B$26,'2-Section de Fonctionnement'!A16),0)</f>
        <v>0</v>
      </c>
      <c r="I16" s="50">
        <f>IFERROR(H16+(VLOOKUP(G16,Scénario_Evolution,4,FALSE)*H16)+SUMIFS('3-Variations du fonctionnement'!$D$17:$D$26,'3-Variations du fonctionnement'!$B$17:$B$26,'2-Section de Fonctionnement'!A16),0)</f>
        <v>0</v>
      </c>
      <c r="J16" s="50">
        <f>IFERROR(I16+(VLOOKUP(G16,Scénario_Evolution,5,FALSE)*I16)+SUMIFS('3-Variations du fonctionnement'!$E$17:$E$26,'3-Variations du fonctionnement'!$B$17:$B$26,'2-Section de Fonctionnement'!A16),0)</f>
        <v>0</v>
      </c>
      <c r="K16" s="50">
        <f>IFERROR(J16+(VLOOKUP(G16,Scénario_Evolution,6,FALSE)*J16)+SUMIFS('3-Variations du fonctionnement'!$F$17:$F$26,'3-Variations du fonctionnement'!$B$17:$B$26,'2-Section de Fonctionnement'!A16),0)</f>
        <v>0</v>
      </c>
      <c r="L16" s="50">
        <f>IFERROR(K16+(VLOOKUP(G16,Scénario_Evolution,7,FALSE)*K16)+SUMIFS('3-Variations du fonctionnement'!$G$17:$G$26,'3-Variations du fonctionnement'!$B$17:$B$26,'2-Section de Fonctionnement'!A16),0)</f>
        <v>0</v>
      </c>
      <c r="M16" s="51">
        <f>IFERROR(L16+(VLOOKUP(G16,Scénario_Evolution,8,FALSE)*L16)+SUMIFS('3-Variations du fonctionnement'!$H$17:$H$26,'3-Variations du fonctionnement'!$B$17:$B$26,'2-Section de Fonctionnement'!A16),0)</f>
        <v>0</v>
      </c>
      <c r="O16" s="236">
        <f t="shared" si="1"/>
        <v>0</v>
      </c>
      <c r="P16" s="234"/>
      <c r="Q16" s="236">
        <f>-IFERROR((INDEX(C16:M16, MATCH('1-Informations-paramètres '!C$49, $C$9:$M$9, 0)) - INDEX(C16:M16, MATCH('1-Informations-paramètres '!C$50, $C$9:$M$9, 0))) / INDEX(C16:F16, MATCH('1-Informations-paramètres '!C$49, $C$9:$M$9, 0)), "0")</f>
        <v>0</v>
      </c>
    </row>
    <row r="17" spans="1:17" x14ac:dyDescent="0.25">
      <c r="A17" s="123"/>
      <c r="B17" s="409"/>
      <c r="C17" s="64"/>
      <c r="D17" s="65"/>
      <c r="E17" s="65"/>
      <c r="F17" s="65"/>
      <c r="G17" s="360"/>
      <c r="H17" s="49">
        <f>IFERROR(F17+(VLOOKUP(G17,Scénario_Evolution,3,FALSE)*F17)+SUMIFS('3-Variations du fonctionnement'!$C$17:$C$26,'3-Variations du fonctionnement'!$B$17:$B$26,'2-Section de Fonctionnement'!A17),0)</f>
        <v>0</v>
      </c>
      <c r="I17" s="50">
        <f>IFERROR(H17+(VLOOKUP(G17,Scénario_Evolution,4,FALSE)*H17)+SUMIFS('3-Variations du fonctionnement'!$D$17:$D$26,'3-Variations du fonctionnement'!$B$17:$B$26,'2-Section de Fonctionnement'!A17),0)</f>
        <v>0</v>
      </c>
      <c r="J17" s="50">
        <f>IFERROR(I17+(VLOOKUP(G17,Scénario_Evolution,5,FALSE)*I17)+SUMIFS('3-Variations du fonctionnement'!$E$17:$E$26,'3-Variations du fonctionnement'!$B$17:$B$26,'2-Section de Fonctionnement'!A17),0)</f>
        <v>0</v>
      </c>
      <c r="K17" s="50">
        <f>IFERROR(J17+(VLOOKUP(G17,Scénario_Evolution,6,FALSE)*J17)+SUMIFS('3-Variations du fonctionnement'!$F$17:$F$26,'3-Variations du fonctionnement'!$B$17:$B$26,'2-Section de Fonctionnement'!A17),0)</f>
        <v>0</v>
      </c>
      <c r="L17" s="50">
        <f>IFERROR(K17+(VLOOKUP(G17,Scénario_Evolution,7,FALSE)*K17)+SUMIFS('3-Variations du fonctionnement'!$G$17:$G$26,'3-Variations du fonctionnement'!$B$17:$B$26,'2-Section de Fonctionnement'!A17),0)</f>
        <v>0</v>
      </c>
      <c r="M17" s="51">
        <f>IFERROR(L17+(VLOOKUP(G17,Scénario_Evolution,8,FALSE)*L17)+SUMIFS('3-Variations du fonctionnement'!$H$17:$H$26,'3-Variations du fonctionnement'!$B$17:$B$26,'2-Section de Fonctionnement'!A17),0)</f>
        <v>0</v>
      </c>
      <c r="O17" s="236">
        <f t="shared" si="1"/>
        <v>0</v>
      </c>
      <c r="P17" s="234"/>
      <c r="Q17" s="236">
        <f>-IFERROR((INDEX(C17:M17, MATCH('1-Informations-paramètres '!C$49, $C$9:$M$9, 0)) - INDEX(C17:M17, MATCH('1-Informations-paramètres '!C$50, $C$9:$M$9, 0))) / INDEX(C17:F17, MATCH('1-Informations-paramètres '!C$49, $C$9:$M$9, 0)), "0")</f>
        <v>0</v>
      </c>
    </row>
    <row r="18" spans="1:17" x14ac:dyDescent="0.25">
      <c r="A18" s="123"/>
      <c r="B18" s="409"/>
      <c r="C18" s="64"/>
      <c r="D18" s="65"/>
      <c r="E18" s="65"/>
      <c r="F18" s="65"/>
      <c r="G18" s="360"/>
      <c r="H18" s="49">
        <f>IFERROR(F18+(VLOOKUP(G18,Scénario_Evolution,3,FALSE)*F18)+SUMIFS('3-Variations du fonctionnement'!$C$17:$C$26,'3-Variations du fonctionnement'!$B$17:$B$26,'2-Section de Fonctionnement'!A18),0)</f>
        <v>0</v>
      </c>
      <c r="I18" s="50">
        <f>IFERROR(H18+(VLOOKUP(G18,Scénario_Evolution,4,FALSE)*H18)+SUMIFS('3-Variations du fonctionnement'!$D$17:$D$26,'3-Variations du fonctionnement'!$B$17:$B$26,'2-Section de Fonctionnement'!A18),0)</f>
        <v>0</v>
      </c>
      <c r="J18" s="50">
        <f>IFERROR(I18+(VLOOKUP(G18,Scénario_Evolution,5,FALSE)*I18)+SUMIFS('3-Variations du fonctionnement'!$E$17:$E$26,'3-Variations du fonctionnement'!$B$17:$B$26,'2-Section de Fonctionnement'!A18),0)</f>
        <v>0</v>
      </c>
      <c r="K18" s="50">
        <f>IFERROR(J18+(VLOOKUP(G18,Scénario_Evolution,6,FALSE)*J18)+SUMIFS('3-Variations du fonctionnement'!$F$17:$F$26,'3-Variations du fonctionnement'!$B$17:$B$26,'2-Section de Fonctionnement'!A18),0)</f>
        <v>0</v>
      </c>
      <c r="L18" s="50">
        <f>IFERROR(K18+(VLOOKUP(G18,Scénario_Evolution,7,FALSE)*K18)+SUMIFS('3-Variations du fonctionnement'!$G$17:$G$26,'3-Variations du fonctionnement'!$B$17:$B$26,'2-Section de Fonctionnement'!A18),0)</f>
        <v>0</v>
      </c>
      <c r="M18" s="51">
        <f>IFERROR(L18+(VLOOKUP(G18,Scénario_Evolution,8,FALSE)*L18)+SUMIFS('3-Variations du fonctionnement'!$H$17:$H$26,'3-Variations du fonctionnement'!$B$17:$B$26,'2-Section de Fonctionnement'!A18),0)</f>
        <v>0</v>
      </c>
      <c r="O18" s="236">
        <f t="shared" si="1"/>
        <v>0</v>
      </c>
      <c r="P18" s="234"/>
      <c r="Q18" s="236">
        <f>-IFERROR((INDEX(C18:M18, MATCH('1-Informations-paramètres '!C$49, $C$9:$M$9, 0)) - INDEX(C18:M18, MATCH('1-Informations-paramètres '!C$50, $C$9:$M$9, 0))) / INDEX(C18:F18, MATCH('1-Informations-paramètres '!C$49, $C$9:$M$9, 0)), "0")</f>
        <v>0</v>
      </c>
    </row>
    <row r="19" spans="1:17" x14ac:dyDescent="0.25">
      <c r="A19" s="123"/>
      <c r="B19" s="409"/>
      <c r="C19" s="64"/>
      <c r="D19" s="65"/>
      <c r="E19" s="65"/>
      <c r="F19" s="65"/>
      <c r="G19" s="360"/>
      <c r="H19" s="49">
        <f>IFERROR(F19+(VLOOKUP(G19,Scénario_Evolution,3,FALSE)*F19)+SUMIFS('3-Variations du fonctionnement'!$C$17:$C$26,'3-Variations du fonctionnement'!$B$17:$B$26,'2-Section de Fonctionnement'!A19),0)</f>
        <v>0</v>
      </c>
      <c r="I19" s="50">
        <f>IFERROR(H19+(VLOOKUP(G19,Scénario_Evolution,4,FALSE)*H19)+SUMIFS('3-Variations du fonctionnement'!$D$17:$D$26,'3-Variations du fonctionnement'!$B$17:$B$26,'2-Section de Fonctionnement'!A19),0)</f>
        <v>0</v>
      </c>
      <c r="J19" s="50">
        <f>IFERROR(I19+(VLOOKUP(G19,Scénario_Evolution,5,FALSE)*I19)+SUMIFS('3-Variations du fonctionnement'!$E$17:$E$26,'3-Variations du fonctionnement'!$B$17:$B$26,'2-Section de Fonctionnement'!A19),0)</f>
        <v>0</v>
      </c>
      <c r="K19" s="50">
        <f>IFERROR(J19+(VLOOKUP(G19,Scénario_Evolution,6,FALSE)*J19)+SUMIFS('3-Variations du fonctionnement'!$F$17:$F$26,'3-Variations du fonctionnement'!$B$17:$B$26,'2-Section de Fonctionnement'!A19),0)</f>
        <v>0</v>
      </c>
      <c r="L19" s="50">
        <f>IFERROR(K19+(VLOOKUP(G19,Scénario_Evolution,7,FALSE)*K19)+SUMIFS('3-Variations du fonctionnement'!$G$17:$G$26,'3-Variations du fonctionnement'!$B$17:$B$26,'2-Section de Fonctionnement'!A19),0)</f>
        <v>0</v>
      </c>
      <c r="M19" s="51">
        <f>IFERROR(L19+(VLOOKUP(G19,Scénario_Evolution,8,FALSE)*L19)+SUMIFS('3-Variations du fonctionnement'!$H$17:$H$26,'3-Variations du fonctionnement'!$B$17:$B$26,'2-Section de Fonctionnement'!A19),0)</f>
        <v>0</v>
      </c>
      <c r="O19" s="236">
        <f t="shared" si="1"/>
        <v>0</v>
      </c>
      <c r="P19" s="234"/>
      <c r="Q19" s="236">
        <f>-IFERROR((INDEX(C19:M19, MATCH('1-Informations-paramètres '!C$49, $C$9:$M$9, 0)) - INDEX(C19:M19, MATCH('1-Informations-paramètres '!C$50, $C$9:$M$9, 0))) / INDEX(C19:F19, MATCH('1-Informations-paramètres '!C$49, $C$9:$M$9, 0)), "0")</f>
        <v>0</v>
      </c>
    </row>
    <row r="20" spans="1:17" x14ac:dyDescent="0.25">
      <c r="A20" s="123"/>
      <c r="B20" s="409"/>
      <c r="C20" s="64"/>
      <c r="D20" s="65"/>
      <c r="E20" s="65"/>
      <c r="F20" s="65"/>
      <c r="G20" s="360"/>
      <c r="H20" s="49">
        <f>IFERROR(F20+(VLOOKUP(G20,Scénario_Evolution,3,FALSE)*F20)+SUMIFS('3-Variations du fonctionnement'!$C$17:$C$26,'3-Variations du fonctionnement'!$B$17:$B$26,'2-Section de Fonctionnement'!A20),0)</f>
        <v>0</v>
      </c>
      <c r="I20" s="50">
        <f>IFERROR(H20+(VLOOKUP(G20,Scénario_Evolution,4,FALSE)*H20)+SUMIFS('3-Variations du fonctionnement'!$D$17:$D$26,'3-Variations du fonctionnement'!$B$17:$B$26,'2-Section de Fonctionnement'!A20),0)</f>
        <v>0</v>
      </c>
      <c r="J20" s="50">
        <f>IFERROR(I20+(VLOOKUP(G20,Scénario_Evolution,5,FALSE)*I20)+SUMIFS('3-Variations du fonctionnement'!$E$17:$E$26,'3-Variations du fonctionnement'!$B$17:$B$26,'2-Section de Fonctionnement'!A20),0)</f>
        <v>0</v>
      </c>
      <c r="K20" s="50">
        <f>IFERROR(J20+(VLOOKUP(G20,Scénario_Evolution,6,FALSE)*J20)+SUMIFS('3-Variations du fonctionnement'!$F$17:$F$26,'3-Variations du fonctionnement'!$B$17:$B$26,'2-Section de Fonctionnement'!A20),0)</f>
        <v>0</v>
      </c>
      <c r="L20" s="50">
        <f>IFERROR(K20+(VLOOKUP(G20,Scénario_Evolution,7,FALSE)*K20)+SUMIFS('3-Variations du fonctionnement'!$G$17:$G$26,'3-Variations du fonctionnement'!$B$17:$B$26,'2-Section de Fonctionnement'!A20),0)</f>
        <v>0</v>
      </c>
      <c r="M20" s="51">
        <f>IFERROR(L20+(VLOOKUP(G20,Scénario_Evolution,8,FALSE)*L20)+SUMIFS('3-Variations du fonctionnement'!$H$17:$H$26,'3-Variations du fonctionnement'!$B$17:$B$26,'2-Section de Fonctionnement'!A20),0)</f>
        <v>0</v>
      </c>
      <c r="O20" s="236">
        <f t="shared" si="1"/>
        <v>0</v>
      </c>
      <c r="P20" s="234"/>
      <c r="Q20" s="236">
        <f>-IFERROR((INDEX(C20:M20, MATCH('1-Informations-paramètres '!C$49, $C$9:$M$9, 0)) - INDEX(C20:M20, MATCH('1-Informations-paramètres '!C$50, $C$9:$M$9, 0))) / INDEX(C20:F20, MATCH('1-Informations-paramètres '!C$49, $C$9:$M$9, 0)), "0")</f>
        <v>0</v>
      </c>
    </row>
    <row r="21" spans="1:17" x14ac:dyDescent="0.25">
      <c r="A21" s="123"/>
      <c r="B21" s="409"/>
      <c r="C21" s="64"/>
      <c r="D21" s="65"/>
      <c r="E21" s="65"/>
      <c r="F21" s="65"/>
      <c r="G21" s="360"/>
      <c r="H21" s="49">
        <f>IFERROR(F21+(VLOOKUP(G21,Scénario_Evolution,3,FALSE)*F21)+SUMIFS('3-Variations du fonctionnement'!$C$17:$C$26,'3-Variations du fonctionnement'!$B$17:$B$26,'2-Section de Fonctionnement'!A21),0)</f>
        <v>0</v>
      </c>
      <c r="I21" s="50">
        <f>IFERROR(H21+(VLOOKUP(G21,Scénario_Evolution,4,FALSE)*H21)+SUMIFS('3-Variations du fonctionnement'!$D$17:$D$26,'3-Variations du fonctionnement'!$B$17:$B$26,'2-Section de Fonctionnement'!A21),0)</f>
        <v>0</v>
      </c>
      <c r="J21" s="50">
        <f>IFERROR(I21+(VLOOKUP(G21,Scénario_Evolution,5,FALSE)*I21)+SUMIFS('3-Variations du fonctionnement'!$E$17:$E$26,'3-Variations du fonctionnement'!$B$17:$B$26,'2-Section de Fonctionnement'!A21),0)</f>
        <v>0</v>
      </c>
      <c r="K21" s="50">
        <f>IFERROR(J21+(VLOOKUP(G21,Scénario_Evolution,6,FALSE)*J21)+SUMIFS('3-Variations du fonctionnement'!$F$17:$F$26,'3-Variations du fonctionnement'!$B$17:$B$26,'2-Section de Fonctionnement'!A21),0)</f>
        <v>0</v>
      </c>
      <c r="L21" s="50">
        <f>IFERROR(K21+(VLOOKUP(G21,Scénario_Evolution,7,FALSE)*K21)+SUMIFS('3-Variations du fonctionnement'!$G$17:$G$26,'3-Variations du fonctionnement'!$B$17:$B$26,'2-Section de Fonctionnement'!A21),0)</f>
        <v>0</v>
      </c>
      <c r="M21" s="51">
        <f>IFERROR(L21+(VLOOKUP(G21,Scénario_Evolution,8,FALSE)*L21)+SUMIFS('3-Variations du fonctionnement'!$H$17:$H$26,'3-Variations du fonctionnement'!$B$17:$B$26,'2-Section de Fonctionnement'!A21),0)</f>
        <v>0</v>
      </c>
      <c r="O21" s="236">
        <f t="shared" si="1"/>
        <v>0</v>
      </c>
      <c r="P21" s="234"/>
      <c r="Q21" s="236">
        <f>-IFERROR((INDEX(C21:M21, MATCH('1-Informations-paramètres '!C$49, $C$9:$M$9, 0)) - INDEX(C21:M21, MATCH('1-Informations-paramètres '!C$50, $C$9:$M$9, 0))) / INDEX(C21:F21, MATCH('1-Informations-paramètres '!C$49, $C$9:$M$9, 0)), "0")</f>
        <v>0</v>
      </c>
    </row>
    <row r="22" spans="1:17" x14ac:dyDescent="0.25">
      <c r="A22" s="123"/>
      <c r="B22" s="409"/>
      <c r="C22" s="64"/>
      <c r="D22" s="65"/>
      <c r="E22" s="65"/>
      <c r="F22" s="65"/>
      <c r="G22" s="360"/>
      <c r="H22" s="49">
        <f>IFERROR(F22+(VLOOKUP(G22,Scénario_Evolution,3,FALSE)*F22)+SUMIFS('3-Variations du fonctionnement'!$C$17:$C$26,'3-Variations du fonctionnement'!$B$17:$B$26,'2-Section de Fonctionnement'!A22),0)</f>
        <v>0</v>
      </c>
      <c r="I22" s="50">
        <f>IFERROR(H22+(VLOOKUP(G22,Scénario_Evolution,4,FALSE)*H22)+SUMIFS('3-Variations du fonctionnement'!$D$17:$D$26,'3-Variations du fonctionnement'!$B$17:$B$26,'2-Section de Fonctionnement'!A22),0)</f>
        <v>0</v>
      </c>
      <c r="J22" s="50">
        <f>IFERROR(I22+(VLOOKUP(G22,Scénario_Evolution,5,FALSE)*I22)+SUMIFS('3-Variations du fonctionnement'!$E$17:$E$26,'3-Variations du fonctionnement'!$B$17:$B$26,'2-Section de Fonctionnement'!A22),0)</f>
        <v>0</v>
      </c>
      <c r="K22" s="50">
        <f>IFERROR(J22+(VLOOKUP(G22,Scénario_Evolution,6,FALSE)*J22)+SUMIFS('3-Variations du fonctionnement'!$F$17:$F$26,'3-Variations du fonctionnement'!$B$17:$B$26,'2-Section de Fonctionnement'!A22),0)</f>
        <v>0</v>
      </c>
      <c r="L22" s="50">
        <f>IFERROR(K22+(VLOOKUP(G22,Scénario_Evolution,7,FALSE)*K22)+SUMIFS('3-Variations du fonctionnement'!$G$17:$G$26,'3-Variations du fonctionnement'!$B$17:$B$26,'2-Section de Fonctionnement'!A22),0)</f>
        <v>0</v>
      </c>
      <c r="M22" s="51">
        <f>IFERROR(L22+(VLOOKUP(G22,Scénario_Evolution,8,FALSE)*L22)+SUMIFS('3-Variations du fonctionnement'!$H$17:$H$26,'3-Variations du fonctionnement'!$B$17:$B$26,'2-Section de Fonctionnement'!A22),0)</f>
        <v>0</v>
      </c>
      <c r="O22" s="236">
        <f t="shared" si="1"/>
        <v>0</v>
      </c>
      <c r="P22" s="234"/>
      <c r="Q22" s="236">
        <f>-IFERROR((INDEX(C22:M22, MATCH('1-Informations-paramètres '!C$49, $C$9:$M$9, 0)) - INDEX(C22:M22, MATCH('1-Informations-paramètres '!C$50, $C$9:$M$9, 0))) / INDEX(C22:F22, MATCH('1-Informations-paramètres '!C$49, $C$9:$M$9, 0)), "0")</f>
        <v>0</v>
      </c>
    </row>
    <row r="23" spans="1:17" x14ac:dyDescent="0.25">
      <c r="A23" s="123"/>
      <c r="B23" s="409"/>
      <c r="C23" s="64"/>
      <c r="D23" s="65"/>
      <c r="E23" s="65"/>
      <c r="F23" s="65"/>
      <c r="G23" s="360"/>
      <c r="H23" s="49">
        <f>IFERROR(F23+(VLOOKUP(G23,Scénario_Evolution,3,FALSE)*F23)+SUMIFS('3-Variations du fonctionnement'!$C$17:$C$26,'3-Variations du fonctionnement'!$B$17:$B$26,'2-Section de Fonctionnement'!A23),0)</f>
        <v>0</v>
      </c>
      <c r="I23" s="50">
        <f>IFERROR(H23+(VLOOKUP(G23,Scénario_Evolution,4,FALSE)*H23)+SUMIFS('3-Variations du fonctionnement'!$D$17:$D$26,'3-Variations du fonctionnement'!$B$17:$B$26,'2-Section de Fonctionnement'!A23),0)</f>
        <v>0</v>
      </c>
      <c r="J23" s="50">
        <f>IFERROR(I23+(VLOOKUP(G23,Scénario_Evolution,5,FALSE)*I23)+SUMIFS('3-Variations du fonctionnement'!$E$17:$E$26,'3-Variations du fonctionnement'!$B$17:$B$26,'2-Section de Fonctionnement'!A23),0)</f>
        <v>0</v>
      </c>
      <c r="K23" s="50">
        <f>IFERROR(J23+(VLOOKUP(G23,Scénario_Evolution,6,FALSE)*J23)+SUMIFS('3-Variations du fonctionnement'!$F$17:$F$26,'3-Variations du fonctionnement'!$B$17:$B$26,'2-Section de Fonctionnement'!A23),0)</f>
        <v>0</v>
      </c>
      <c r="L23" s="50">
        <f>IFERROR(K23+(VLOOKUP(G23,Scénario_Evolution,7,FALSE)*K23)+SUMIFS('3-Variations du fonctionnement'!$G$17:$G$26,'3-Variations du fonctionnement'!$B$17:$B$26,'2-Section de Fonctionnement'!A23),0)</f>
        <v>0</v>
      </c>
      <c r="M23" s="51">
        <f>IFERROR(L23+(VLOOKUP(G23,Scénario_Evolution,8,FALSE)*L23)+SUMIFS('3-Variations du fonctionnement'!$H$17:$H$26,'3-Variations du fonctionnement'!$B$17:$B$26,'2-Section de Fonctionnement'!A23),0)</f>
        <v>0</v>
      </c>
      <c r="O23" s="236">
        <f>IFERROR((F23-C23)/C23,0)</f>
        <v>0</v>
      </c>
      <c r="P23" s="234"/>
      <c r="Q23" s="236">
        <f>-IFERROR((INDEX(C23:M23, MATCH('1-Informations-paramètres '!C$49, $C$9:$M$9, 0)) - INDEX(C23:M23, MATCH('1-Informations-paramètres '!C$50, $C$9:$M$9, 0))) / INDEX(C23:F23, MATCH('1-Informations-paramètres '!C$49, $C$9:$M$9, 0)), "0")</f>
        <v>0</v>
      </c>
    </row>
    <row r="24" spans="1:17" x14ac:dyDescent="0.25">
      <c r="A24" s="123"/>
      <c r="B24" s="409"/>
      <c r="C24" s="64"/>
      <c r="D24" s="65"/>
      <c r="E24" s="65"/>
      <c r="F24" s="65"/>
      <c r="G24" s="360"/>
      <c r="H24" s="49">
        <f>IFERROR(F24+(VLOOKUP(G24,Scénario_Evolution,3,FALSE)*F24)+SUMIFS('3-Variations du fonctionnement'!$C$17:$C$26,'3-Variations du fonctionnement'!$B$17:$B$26,'2-Section de Fonctionnement'!A24),0)</f>
        <v>0</v>
      </c>
      <c r="I24" s="50">
        <f>IFERROR(H24+(VLOOKUP(G24,Scénario_Evolution,4,FALSE)*H24)+SUMIFS('3-Variations du fonctionnement'!$D$17:$D$26,'3-Variations du fonctionnement'!$B$17:$B$26,'2-Section de Fonctionnement'!A24),0)</f>
        <v>0</v>
      </c>
      <c r="J24" s="50">
        <f>IFERROR(I24+(VLOOKUP(G24,Scénario_Evolution,5,FALSE)*I24)+SUMIFS('3-Variations du fonctionnement'!$E$17:$E$26,'3-Variations du fonctionnement'!$B$17:$B$26,'2-Section de Fonctionnement'!A24),0)</f>
        <v>0</v>
      </c>
      <c r="K24" s="50">
        <f>IFERROR(J24+(VLOOKUP(G24,Scénario_Evolution,6,FALSE)*J24)+SUMIFS('3-Variations du fonctionnement'!$F$17:$F$26,'3-Variations du fonctionnement'!$B$17:$B$26,'2-Section de Fonctionnement'!A24),0)</f>
        <v>0</v>
      </c>
      <c r="L24" s="50">
        <f>IFERROR(K24+(VLOOKUP(G24,Scénario_Evolution,7,FALSE)*K24)+SUMIFS('3-Variations du fonctionnement'!$G$17:$G$26,'3-Variations du fonctionnement'!$B$17:$B$26,'2-Section de Fonctionnement'!A24),0)</f>
        <v>0</v>
      </c>
      <c r="M24" s="51">
        <f>IFERROR(L24+(VLOOKUP(G24,Scénario_Evolution,8,FALSE)*L24)+SUMIFS('3-Variations du fonctionnement'!$H$17:$H$26,'3-Variations du fonctionnement'!$B$17:$B$26,'2-Section de Fonctionnement'!A24),0)</f>
        <v>0</v>
      </c>
      <c r="O24" s="236">
        <f>IFERROR((F24-C24)/C24,0)</f>
        <v>0</v>
      </c>
      <c r="P24" s="234"/>
      <c r="Q24" s="236">
        <f>-IFERROR((INDEX(C24:M24, MATCH('1-Informations-paramètres '!C$49, $C$9:$M$9, 0)) - INDEX(C24:M24, MATCH('1-Informations-paramètres '!C$50, $C$9:$M$9, 0))) / INDEX(C24:F24, MATCH('1-Informations-paramètres '!C$49, $C$9:$M$9, 0)), "0")</f>
        <v>0</v>
      </c>
    </row>
    <row r="25" spans="1:17" x14ac:dyDescent="0.25">
      <c r="A25" s="123"/>
      <c r="B25" s="409"/>
      <c r="C25" s="64"/>
      <c r="D25" s="65"/>
      <c r="E25" s="65"/>
      <c r="F25" s="65"/>
      <c r="G25" s="360"/>
      <c r="H25" s="49">
        <f>IFERROR(F25+(VLOOKUP(G25,Scénario_Evolution,3,FALSE)*F25)+SUMIFS('3-Variations du fonctionnement'!$C$17:$C$26,'3-Variations du fonctionnement'!$B$17:$B$26,'2-Section de Fonctionnement'!A25),0)</f>
        <v>0</v>
      </c>
      <c r="I25" s="50">
        <f>IFERROR(H25+(VLOOKUP(G25,Scénario_Evolution,4,FALSE)*H25)+SUMIFS('3-Variations du fonctionnement'!$D$17:$D$26,'3-Variations du fonctionnement'!$B$17:$B$26,'2-Section de Fonctionnement'!A25),0)</f>
        <v>0</v>
      </c>
      <c r="J25" s="50">
        <f>IFERROR(I25+(VLOOKUP(G25,Scénario_Evolution,5,FALSE)*I25)+SUMIFS('3-Variations du fonctionnement'!$E$17:$E$26,'3-Variations du fonctionnement'!$B$17:$B$26,'2-Section de Fonctionnement'!A25),0)</f>
        <v>0</v>
      </c>
      <c r="K25" s="50">
        <f>IFERROR(J25+(VLOOKUP(G25,Scénario_Evolution,6,FALSE)*J25)+SUMIFS('3-Variations du fonctionnement'!$F$17:$F$26,'3-Variations du fonctionnement'!$B$17:$B$26,'2-Section de Fonctionnement'!A25),0)</f>
        <v>0</v>
      </c>
      <c r="L25" s="50">
        <f>IFERROR(K25+(VLOOKUP(G25,Scénario_Evolution,7,FALSE)*K25)+SUMIFS('3-Variations du fonctionnement'!$G$17:$G$26,'3-Variations du fonctionnement'!$B$17:$B$26,'2-Section de Fonctionnement'!A25),0)</f>
        <v>0</v>
      </c>
      <c r="M25" s="51">
        <f>IFERROR(L25+(VLOOKUP(G25,Scénario_Evolution,8,FALSE)*L25)+SUMIFS('3-Variations du fonctionnement'!$H$17:$H$26,'3-Variations du fonctionnement'!$B$17:$B$26,'2-Section de Fonctionnement'!A25),0)</f>
        <v>0</v>
      </c>
      <c r="O25" s="236">
        <f t="shared" si="1"/>
        <v>0</v>
      </c>
      <c r="P25" s="234"/>
      <c r="Q25" s="236">
        <f>-IFERROR((INDEX(C25:M25, MATCH('1-Informations-paramètres '!C$49, $C$9:$M$9, 0)) - INDEX(C25:M25, MATCH('1-Informations-paramètres '!C$50, $C$9:$M$9, 0))) / INDEX(C25:F25, MATCH('1-Informations-paramètres '!C$49, $C$9:$M$9, 0)), "0")</f>
        <v>0</v>
      </c>
    </row>
    <row r="26" spans="1:17" ht="15" thickBot="1" x14ac:dyDescent="0.3">
      <c r="A26" s="157" t="s">
        <v>11</v>
      </c>
      <c r="B26" s="410" t="s">
        <v>30</v>
      </c>
      <c r="C26" s="392">
        <f>C10-SUM(C11:C25)</f>
        <v>0</v>
      </c>
      <c r="D26" s="393">
        <f>D10-SUM(D11:D25)</f>
        <v>0</v>
      </c>
      <c r="E26" s="393">
        <f>E10-SUM(E11:E25)</f>
        <v>0</v>
      </c>
      <c r="F26" s="393">
        <f>F10-SUM(F11:F25)</f>
        <v>0</v>
      </c>
      <c r="G26" s="361"/>
      <c r="H26" s="392">
        <f>IFERROR(F26+(VLOOKUP(G26,Scénario_Evolution,3,FALSE)*F26)+SUMIFS('3-Variations du fonctionnement'!$C$17:$C$26,'3-Variations du fonctionnement'!$B$17:$B$26,'2-Section de Fonctionnement'!A26),0)</f>
        <v>0</v>
      </c>
      <c r="I26" s="393">
        <f>IFERROR(H26+(VLOOKUP(G26,Scénario_Evolution,4,FALSE)*H26)+SUMIFS('3-Variations du fonctionnement'!$D$17:$D$26,'3-Variations du fonctionnement'!$B$17:$B$26,'2-Section de Fonctionnement'!A26),0)</f>
        <v>0</v>
      </c>
      <c r="J26" s="393">
        <f>IFERROR(I26+(VLOOKUP(G26,Scénario_Evolution,5,FALSE)*I26)+SUMIFS('3-Variations du fonctionnement'!$E$17:$E$26,'3-Variations du fonctionnement'!$B$17:$B$26,'2-Section de Fonctionnement'!A26),0)</f>
        <v>0</v>
      </c>
      <c r="K26" s="393">
        <f>IFERROR(J26+(VLOOKUP(G26,Scénario_Evolution,6,FALSE)*J26)+SUMIFS('3-Variations du fonctionnement'!$F$17:$F$26,'3-Variations du fonctionnement'!$B$17:$B$26,'2-Section de Fonctionnement'!A26),0)</f>
        <v>0</v>
      </c>
      <c r="L26" s="393">
        <f>IFERROR(K26+(VLOOKUP(G26,Scénario_Evolution,7,FALSE)*K26)+SUMIFS('3-Variations du fonctionnement'!$G$17:$G$26,'3-Variations du fonctionnement'!$B$17:$B$26,'2-Section de Fonctionnement'!A26),0)</f>
        <v>0</v>
      </c>
      <c r="M26" s="394">
        <f>IFERROR(L26+(VLOOKUP(G26,Scénario_Evolution,8,FALSE)*L26)+SUMIFS('3-Variations du fonctionnement'!$H$17:$H$26,'3-Variations du fonctionnement'!$B$17:$B$26,'2-Section de Fonctionnement'!A26),0)</f>
        <v>0</v>
      </c>
      <c r="O26" s="237">
        <f t="shared" si="1"/>
        <v>0</v>
      </c>
      <c r="P26" s="234"/>
      <c r="Q26" s="237">
        <f>-IFERROR((INDEX(C26:M26, MATCH('1-Informations-paramètres '!C$49, $C$9:$M$9, 0)) - INDEX(C26:M26, MATCH('1-Informations-paramètres '!C$50, $C$9:$M$9, 0))) / INDEX(C26:F26, MATCH('1-Informations-paramètres '!C$49, $C$9:$M$9, 0)), "0")</f>
        <v>0</v>
      </c>
    </row>
    <row r="27" spans="1:17" ht="12" customHeight="1" thickBot="1" x14ac:dyDescent="0.3">
      <c r="A27" s="53"/>
      <c r="B27" s="53"/>
      <c r="C27" s="53"/>
      <c r="D27" s="53"/>
      <c r="E27" s="53"/>
      <c r="F27" s="53"/>
      <c r="G27" s="53"/>
      <c r="H27" s="53"/>
      <c r="I27" s="53"/>
      <c r="J27" s="53"/>
      <c r="K27" s="53"/>
      <c r="L27" s="53"/>
      <c r="M27" s="53"/>
      <c r="O27" s="48"/>
      <c r="Q27" s="48"/>
    </row>
    <row r="28" spans="1:17" ht="33.6" customHeight="1" x14ac:dyDescent="0.25">
      <c r="A28" s="196" t="s">
        <v>32</v>
      </c>
      <c r="B28" s="197" t="s">
        <v>103</v>
      </c>
      <c r="C28" s="296">
        <f>C9</f>
        <v>0</v>
      </c>
      <c r="D28" s="296">
        <f>C28+1</f>
        <v>1</v>
      </c>
      <c r="E28" s="296">
        <f>D28+1</f>
        <v>2</v>
      </c>
      <c r="F28" s="296">
        <f>E28+1</f>
        <v>3</v>
      </c>
      <c r="G28" s="482" t="s">
        <v>33</v>
      </c>
      <c r="H28" s="301">
        <f>F28+1</f>
        <v>4</v>
      </c>
      <c r="I28" s="296">
        <f>H28+1</f>
        <v>5</v>
      </c>
      <c r="J28" s="296">
        <f>I28+1</f>
        <v>6</v>
      </c>
      <c r="K28" s="296">
        <f>J28+1</f>
        <v>7</v>
      </c>
      <c r="L28" s="296">
        <f>K28+1</f>
        <v>8</v>
      </c>
      <c r="M28" s="302">
        <f>L28+1</f>
        <v>9</v>
      </c>
      <c r="O28" s="226" t="str">
        <f>O9</f>
        <v>Evolution 0/3</v>
      </c>
      <c r="Q28" s="226" t="str">
        <f>"Evolution " &amp;'1-Informations-paramètres '!C49 &amp;"/" &amp;'1-Informations-paramètres '!C50</f>
        <v>Evolution /</v>
      </c>
    </row>
    <row r="29" spans="1:17" ht="16.5" x14ac:dyDescent="0.3">
      <c r="A29" s="54" t="s">
        <v>34</v>
      </c>
      <c r="B29" s="55"/>
      <c r="C29" s="63"/>
      <c r="D29" s="63"/>
      <c r="E29" s="63"/>
      <c r="F29" s="63"/>
      <c r="G29" s="483"/>
      <c r="H29" s="45">
        <f t="shared" ref="H29:M29" si="2">SUM(H30:H44)</f>
        <v>0</v>
      </c>
      <c r="I29" s="46">
        <f t="shared" si="2"/>
        <v>0</v>
      </c>
      <c r="J29" s="46">
        <f t="shared" si="2"/>
        <v>0</v>
      </c>
      <c r="K29" s="46">
        <f t="shared" si="2"/>
        <v>0</v>
      </c>
      <c r="L29" s="46">
        <f t="shared" si="2"/>
        <v>0</v>
      </c>
      <c r="M29" s="47">
        <f t="shared" si="2"/>
        <v>0</v>
      </c>
      <c r="O29" s="91">
        <f t="shared" ref="O29:O44" si="3">IFERROR((F29-C29)/C29,0)</f>
        <v>0</v>
      </c>
      <c r="P29" s="234"/>
      <c r="Q29" s="91">
        <f>-IFERROR((INDEX(C29:M29, MATCH('1-Informations-paramètres '!C$49, $C$9:$M$9, 0)) - INDEX(C29:M29, MATCH('1-Informations-paramètres '!C$50, $C$9:$M$9, 0))) / INDEX(C29:F29, MATCH('1-Informations-paramètres '!C$49, $C$9:$M$9, 0)), "0")</f>
        <v>0</v>
      </c>
    </row>
    <row r="30" spans="1:17" x14ac:dyDescent="0.25">
      <c r="A30" s="359"/>
      <c r="B30" s="412"/>
      <c r="C30" s="65"/>
      <c r="D30" s="65"/>
      <c r="E30" s="65"/>
      <c r="F30" s="65"/>
      <c r="G30" s="360"/>
      <c r="H30" s="49">
        <f>IFERROR(F30+(VLOOKUP(G30,Scénario_Evolution,3,FALSE)*F30)+SUMIFS('3-Variations du fonctionnement'!$C$28:$C$37,'3-Variations du fonctionnement'!$B$28:$B$37,'2-Section de Fonctionnement'!A30),0)</f>
        <v>0</v>
      </c>
      <c r="I30" s="50">
        <f>IFERROR(H30+(VLOOKUP(G30,Scénario_Evolution,4,FALSE)*H30)+SUMIFS('3-Variations du fonctionnement'!$D$28:$D$37,'3-Variations du fonctionnement'!$B$28:$B$37,'2-Section de Fonctionnement'!A30),0)</f>
        <v>0</v>
      </c>
      <c r="J30" s="50">
        <f>IFERROR(I30+(VLOOKUP(G30,Scénario_Evolution,5,FALSE)*I30)+SUMIFS('3-Variations du fonctionnement'!$E$28:$E$37,'3-Variations du fonctionnement'!$B$28:$B$37,'2-Section de Fonctionnement'!A30),0)</f>
        <v>0</v>
      </c>
      <c r="K30" s="50">
        <f>IFERROR(J30+(VLOOKUP(G30,Scénario_Evolution,6,FALSE)*J30)+SUMIFS('3-Variations du fonctionnement'!$F$28:$F$37,'3-Variations du fonctionnement'!$B$28:$B$37,'2-Section de Fonctionnement'!A30),0)</f>
        <v>0</v>
      </c>
      <c r="L30" s="50">
        <f>IFERROR(K30+(VLOOKUP(G30,Scénario_Evolution,7,FALSE)*K30)+SUMIFS('3-Variations du fonctionnement'!$G$28:$G$37,'3-Variations du fonctionnement'!$B$28:$B$37,'2-Section de Fonctionnement'!A30),0)</f>
        <v>0</v>
      </c>
      <c r="M30" s="51">
        <f>IFERROR(L30+(VLOOKUP(G30,Scénario_Evolution,8,FALSE)*L30)+SUMIFS('3-Variations du fonctionnement'!$H$28:$H$37,'3-Variations du fonctionnement'!$B$28:$B$37,'2-Section de Fonctionnement'!A30),0)</f>
        <v>0</v>
      </c>
      <c r="O30" s="236">
        <f t="shared" si="3"/>
        <v>0</v>
      </c>
      <c r="P30" s="234"/>
      <c r="Q30" s="236">
        <f>-IFERROR((INDEX(C30:M30, MATCH('1-Informations-paramètres '!C$49, $C$9:$M$9, 0)) - INDEX(C30:M30, MATCH('1-Informations-paramètres '!C$50, $C$9:$M$9, 0))) / INDEX(C30:F30, MATCH('1-Informations-paramètres '!C$49, $C$9:$M$9, 0)), "0")</f>
        <v>0</v>
      </c>
    </row>
    <row r="31" spans="1:17" x14ac:dyDescent="0.25">
      <c r="A31" s="359"/>
      <c r="B31" s="412"/>
      <c r="C31" s="65"/>
      <c r="D31" s="65"/>
      <c r="E31" s="65"/>
      <c r="F31" s="65"/>
      <c r="G31" s="360"/>
      <c r="H31" s="49">
        <f>IFERROR(F31+(VLOOKUP(G31,Scénario_Evolution,3,FALSE)*F31)+SUMIFS('3-Variations du fonctionnement'!$C$28:$C$37,'3-Variations du fonctionnement'!$B$28:$B$37,'2-Section de Fonctionnement'!A31),0)</f>
        <v>0</v>
      </c>
      <c r="I31" s="50">
        <f>IFERROR(H31+(VLOOKUP(G31,Scénario_Evolution,4,FALSE)*H31)+SUMIFS('3-Variations du fonctionnement'!$D$28:$D$37,'3-Variations du fonctionnement'!$B$28:$B$37,'2-Section de Fonctionnement'!A31),0)</f>
        <v>0</v>
      </c>
      <c r="J31" s="50">
        <f>IFERROR(I31+(VLOOKUP(G31,Scénario_Evolution,5,FALSE)*I31)+SUMIFS('3-Variations du fonctionnement'!$E$28:$E$37,'3-Variations du fonctionnement'!$B$28:$B$37,'2-Section de Fonctionnement'!A31),0)</f>
        <v>0</v>
      </c>
      <c r="K31" s="50">
        <f>IFERROR(J31+(VLOOKUP(G31,Scénario_Evolution,6,FALSE)*J31)+SUMIFS('3-Variations du fonctionnement'!$F$28:$F$37,'3-Variations du fonctionnement'!$B$28:$B$37,'2-Section de Fonctionnement'!A31),0)</f>
        <v>0</v>
      </c>
      <c r="L31" s="50">
        <f>IFERROR(K31+(VLOOKUP(G31,Scénario_Evolution,7,FALSE)*K31)+SUMIFS('3-Variations du fonctionnement'!$G$28:$G$37,'3-Variations du fonctionnement'!$B$28:$B$37,'2-Section de Fonctionnement'!A31),0)</f>
        <v>0</v>
      </c>
      <c r="M31" s="51">
        <f>IFERROR(L31+(VLOOKUP(G31,Scénario_Evolution,8,FALSE)*L31)+SUMIFS('3-Variations du fonctionnement'!$H$28:$H$37,'3-Variations du fonctionnement'!$B$28:$B$37,'2-Section de Fonctionnement'!A31),0)</f>
        <v>0</v>
      </c>
      <c r="O31" s="236">
        <f t="shared" si="3"/>
        <v>0</v>
      </c>
      <c r="P31" s="234"/>
      <c r="Q31" s="236">
        <f>-IFERROR((INDEX(C31:M31, MATCH('1-Informations-paramètres '!C$49, $C$9:$M$9, 0)) - INDEX(C31:M31, MATCH('1-Informations-paramètres '!C$50, $C$9:$M$9, 0))) / INDEX(C31:F31, MATCH('1-Informations-paramètres '!C$49, $C$9:$M$9, 0)), "0")</f>
        <v>0</v>
      </c>
    </row>
    <row r="32" spans="1:17" x14ac:dyDescent="0.25">
      <c r="A32" s="359"/>
      <c r="B32" s="412"/>
      <c r="C32" s="65"/>
      <c r="D32" s="65"/>
      <c r="E32" s="65"/>
      <c r="F32" s="65"/>
      <c r="G32" s="360"/>
      <c r="H32" s="49">
        <f>IFERROR(F32+(VLOOKUP(G32,Scénario_Evolution,3,FALSE)*F32)+SUMIFS('3-Variations du fonctionnement'!$C$28:$C$37,'3-Variations du fonctionnement'!$B$28:$B$37,'2-Section de Fonctionnement'!A32),0)</f>
        <v>0</v>
      </c>
      <c r="I32" s="50">
        <f>IFERROR(H32+(VLOOKUP(G32,Scénario_Evolution,4,FALSE)*H32)+SUMIFS('3-Variations du fonctionnement'!$D$28:$D$37,'3-Variations du fonctionnement'!$B$28:$B$37,'2-Section de Fonctionnement'!A32),0)</f>
        <v>0</v>
      </c>
      <c r="J32" s="50">
        <f>IFERROR(I32+(VLOOKUP(G32,Scénario_Evolution,5,FALSE)*I32)+SUMIFS('3-Variations du fonctionnement'!$E$28:$E$37,'3-Variations du fonctionnement'!$B$28:$B$37,'2-Section de Fonctionnement'!A32),0)</f>
        <v>0</v>
      </c>
      <c r="K32" s="50">
        <f>IFERROR(J32+(VLOOKUP(G32,Scénario_Evolution,6,FALSE)*J32)+SUMIFS('3-Variations du fonctionnement'!$F$28:$F$37,'3-Variations du fonctionnement'!$B$28:$B$37,'2-Section de Fonctionnement'!A32),0)</f>
        <v>0</v>
      </c>
      <c r="L32" s="50">
        <f>IFERROR(K32+(VLOOKUP(G32,Scénario_Evolution,7,FALSE)*K32)+SUMIFS('3-Variations du fonctionnement'!$G$28:$G$37,'3-Variations du fonctionnement'!$B$28:$B$37,'2-Section de Fonctionnement'!A32),0)</f>
        <v>0</v>
      </c>
      <c r="M32" s="51">
        <f>IFERROR(L32+(VLOOKUP(G32,Scénario_Evolution,8,FALSE)*L32)+SUMIFS('3-Variations du fonctionnement'!$H$28:$H$37,'3-Variations du fonctionnement'!$B$28:$B$37,'2-Section de Fonctionnement'!A32),0)</f>
        <v>0</v>
      </c>
      <c r="O32" s="236">
        <f t="shared" si="3"/>
        <v>0</v>
      </c>
      <c r="P32" s="234"/>
      <c r="Q32" s="236">
        <f>-IFERROR((INDEX(C32:M32, MATCH('1-Informations-paramètres '!C$49, $C$9:$M$9, 0)) - INDEX(C32:M32, MATCH('1-Informations-paramètres '!C$50, $C$9:$M$9, 0))) / INDEX(C32:F32, MATCH('1-Informations-paramètres '!C$49, $C$9:$M$9, 0)), "0")</f>
        <v>0</v>
      </c>
    </row>
    <row r="33" spans="1:17" x14ac:dyDescent="0.25">
      <c r="A33" s="359"/>
      <c r="B33" s="412"/>
      <c r="C33" s="65"/>
      <c r="D33" s="65"/>
      <c r="E33" s="65"/>
      <c r="F33" s="65"/>
      <c r="G33" s="360"/>
      <c r="H33" s="49">
        <f>IFERROR(F33+(VLOOKUP(G33,Scénario_Evolution,3,FALSE)*F33)+SUMIFS('3-Variations du fonctionnement'!$C$28:$C$37,'3-Variations du fonctionnement'!$B$28:$B$37,'2-Section de Fonctionnement'!A33),0)</f>
        <v>0</v>
      </c>
      <c r="I33" s="50">
        <f>IFERROR(H33+(VLOOKUP(G33,Scénario_Evolution,4,FALSE)*H33)+SUMIFS('3-Variations du fonctionnement'!$D$28:$D$37,'3-Variations du fonctionnement'!$B$28:$B$37,'2-Section de Fonctionnement'!A33),0)</f>
        <v>0</v>
      </c>
      <c r="J33" s="50">
        <f>IFERROR(I33+(VLOOKUP(G33,Scénario_Evolution,5,FALSE)*I33)+SUMIFS('3-Variations du fonctionnement'!$E$28:$E$37,'3-Variations du fonctionnement'!$B$28:$B$37,'2-Section de Fonctionnement'!A33),0)</f>
        <v>0</v>
      </c>
      <c r="K33" s="50">
        <f>IFERROR(J33+(VLOOKUP(G33,Scénario_Evolution,6,FALSE)*J33)+SUMIFS('3-Variations du fonctionnement'!$F$28:$F$37,'3-Variations du fonctionnement'!$B$28:$B$37,'2-Section de Fonctionnement'!A33),0)</f>
        <v>0</v>
      </c>
      <c r="L33" s="50">
        <f>IFERROR(K33+(VLOOKUP(G33,Scénario_Evolution,7,FALSE)*K33)+SUMIFS('3-Variations du fonctionnement'!$G$28:$G$37,'3-Variations du fonctionnement'!$B$28:$B$37,'2-Section de Fonctionnement'!A33),0)</f>
        <v>0</v>
      </c>
      <c r="M33" s="51">
        <f>IFERROR(L33+(VLOOKUP(G33,Scénario_Evolution,8,FALSE)*L33)+SUMIFS('3-Variations du fonctionnement'!$H$28:$H$37,'3-Variations du fonctionnement'!$B$28:$B$37,'2-Section de Fonctionnement'!A33),0)</f>
        <v>0</v>
      </c>
      <c r="O33" s="236">
        <f t="shared" si="3"/>
        <v>0</v>
      </c>
      <c r="P33" s="234"/>
      <c r="Q33" s="236">
        <f>-IFERROR((INDEX(C33:M33, MATCH('1-Informations-paramètres '!C$49, $C$9:$M$9, 0)) - INDEX(C33:M33, MATCH('1-Informations-paramètres '!C$50, $C$9:$M$9, 0))) / INDEX(C33:F33, MATCH('1-Informations-paramètres '!C$49, $C$9:$M$9, 0)), "0")</f>
        <v>0</v>
      </c>
    </row>
    <row r="34" spans="1:17" x14ac:dyDescent="0.25">
      <c r="A34" s="359"/>
      <c r="B34" s="412"/>
      <c r="C34" s="65"/>
      <c r="D34" s="65"/>
      <c r="E34" s="65"/>
      <c r="F34" s="65"/>
      <c r="G34" s="360"/>
      <c r="H34" s="49">
        <f>IFERROR(F34+(VLOOKUP(G34,Scénario_Evolution,3,FALSE)*F34)+SUMIFS('3-Variations du fonctionnement'!$C$28:$C$37,'3-Variations du fonctionnement'!$B$28:$B$37,'2-Section de Fonctionnement'!A34),0)</f>
        <v>0</v>
      </c>
      <c r="I34" s="50">
        <f>IFERROR(H34+(VLOOKUP(G34,Scénario_Evolution,4,FALSE)*H34)+SUMIFS('3-Variations du fonctionnement'!$D$28:$D$37,'3-Variations du fonctionnement'!$B$28:$B$37,'2-Section de Fonctionnement'!A34),0)</f>
        <v>0</v>
      </c>
      <c r="J34" s="50">
        <f>IFERROR(I34+(VLOOKUP(G34,Scénario_Evolution,5,FALSE)*I34)+SUMIFS('3-Variations du fonctionnement'!$E$28:$E$37,'3-Variations du fonctionnement'!$B$28:$B$37,'2-Section de Fonctionnement'!A34),0)</f>
        <v>0</v>
      </c>
      <c r="K34" s="50">
        <f>IFERROR(J34+(VLOOKUP(G34,Scénario_Evolution,6,FALSE)*J34)+SUMIFS('3-Variations du fonctionnement'!$F$28:$F$37,'3-Variations du fonctionnement'!$B$28:$B$37,'2-Section de Fonctionnement'!A34),0)</f>
        <v>0</v>
      </c>
      <c r="L34" s="50">
        <f>IFERROR(K34+(VLOOKUP(G34,Scénario_Evolution,7,FALSE)*K34)+SUMIFS('3-Variations du fonctionnement'!$G$28:$G$37,'3-Variations du fonctionnement'!$B$28:$B$37,'2-Section de Fonctionnement'!A34),0)</f>
        <v>0</v>
      </c>
      <c r="M34" s="51">
        <f>IFERROR(L34+(VLOOKUP(G34,Scénario_Evolution,8,FALSE)*L34)+SUMIFS('3-Variations du fonctionnement'!$H$28:$H$37,'3-Variations du fonctionnement'!$B$28:$B$37,'2-Section de Fonctionnement'!A34),0)</f>
        <v>0</v>
      </c>
      <c r="O34" s="236">
        <f t="shared" si="3"/>
        <v>0</v>
      </c>
      <c r="P34" s="234"/>
      <c r="Q34" s="236">
        <f>-IFERROR((INDEX(C34:M34, MATCH('1-Informations-paramètres '!C$49, $C$9:$M$9, 0)) - INDEX(C34:M34, MATCH('1-Informations-paramètres '!C$50, $C$9:$M$9, 0))) / INDEX(C34:F34, MATCH('1-Informations-paramètres '!C$49, $C$9:$M$9, 0)), "0")</f>
        <v>0</v>
      </c>
    </row>
    <row r="35" spans="1:17" x14ac:dyDescent="0.25">
      <c r="A35" s="359"/>
      <c r="B35" s="412"/>
      <c r="C35" s="65"/>
      <c r="D35" s="65"/>
      <c r="E35" s="65"/>
      <c r="F35" s="65"/>
      <c r="G35" s="360"/>
      <c r="H35" s="49">
        <f>IFERROR(F35+(VLOOKUP(G35,Scénario_Evolution,3,FALSE)*F35)+SUMIFS('3-Variations du fonctionnement'!$C$28:$C$37,'3-Variations du fonctionnement'!$B$28:$B$37,'2-Section de Fonctionnement'!A35),0)</f>
        <v>0</v>
      </c>
      <c r="I35" s="50">
        <f>IFERROR(H35+(VLOOKUP(G35,Scénario_Evolution,4,FALSE)*H35)+SUMIFS('3-Variations du fonctionnement'!$D$28:$D$37,'3-Variations du fonctionnement'!$B$28:$B$37,'2-Section de Fonctionnement'!A35),0)</f>
        <v>0</v>
      </c>
      <c r="J35" s="50">
        <f>IFERROR(I35+(VLOOKUP(G35,Scénario_Evolution,5,FALSE)*I35)+SUMIFS('3-Variations du fonctionnement'!$E$28:$E$37,'3-Variations du fonctionnement'!$B$28:$B$37,'2-Section de Fonctionnement'!A35),0)</f>
        <v>0</v>
      </c>
      <c r="K35" s="50">
        <f>IFERROR(J35+(VLOOKUP(G35,Scénario_Evolution,6,FALSE)*J35)+SUMIFS('3-Variations du fonctionnement'!$F$28:$F$37,'3-Variations du fonctionnement'!$B$28:$B$37,'2-Section de Fonctionnement'!A35),0)</f>
        <v>0</v>
      </c>
      <c r="L35" s="50">
        <f>IFERROR(K35+(VLOOKUP(G35,Scénario_Evolution,7,FALSE)*K35)+SUMIFS('3-Variations du fonctionnement'!$G$28:$G$37,'3-Variations du fonctionnement'!$B$28:$B$37,'2-Section de Fonctionnement'!A35),0)</f>
        <v>0</v>
      </c>
      <c r="M35" s="51">
        <f>IFERROR(L35+(VLOOKUP(G35,Scénario_Evolution,8,FALSE)*L35)+SUMIFS('3-Variations du fonctionnement'!$H$28:$H$37,'3-Variations du fonctionnement'!$B$28:$B$37,'2-Section de Fonctionnement'!A35),0)</f>
        <v>0</v>
      </c>
      <c r="O35" s="236">
        <f t="shared" si="3"/>
        <v>0</v>
      </c>
      <c r="P35" s="234"/>
      <c r="Q35" s="236">
        <f>-IFERROR((INDEX(C35:M35, MATCH('1-Informations-paramètres '!C$49, $C$9:$M$9, 0)) - INDEX(C35:M35, MATCH('1-Informations-paramètres '!C$50, $C$9:$M$9, 0))) / INDEX(C35:F35, MATCH('1-Informations-paramètres '!C$49, $C$9:$M$9, 0)), "0")</f>
        <v>0</v>
      </c>
    </row>
    <row r="36" spans="1:17" x14ac:dyDescent="0.25">
      <c r="A36" s="359"/>
      <c r="B36" s="412"/>
      <c r="C36" s="132"/>
      <c r="D36" s="132"/>
      <c r="E36" s="132"/>
      <c r="F36" s="132"/>
      <c r="G36" s="360"/>
      <c r="H36" s="56">
        <f>IFERROR(F36+(VLOOKUP(G36,Scénario_Evolution,3,FALSE)*F36)+SUMIFS('3-Variations du fonctionnement'!$C$28:$C$37,'3-Variations du fonctionnement'!$B$28:$B$37,'2-Section de Fonctionnement'!A36),0)</f>
        <v>0</v>
      </c>
      <c r="I36" s="57">
        <f>IFERROR(H36+(VLOOKUP(G36,Scénario_Evolution,4,FALSE)*H36)+SUMIFS('3-Variations du fonctionnement'!$D$28:$D$37,'3-Variations du fonctionnement'!$B$28:$B$37,'2-Section de Fonctionnement'!A36),0)</f>
        <v>0</v>
      </c>
      <c r="J36" s="57">
        <f>IFERROR(I36+(VLOOKUP(G36,Scénario_Evolution,5,FALSE)*I36)+SUMIFS('3-Variations du fonctionnement'!$E$28:$E$37,'3-Variations du fonctionnement'!$B$28:$B$37,'2-Section de Fonctionnement'!A36),0)</f>
        <v>0</v>
      </c>
      <c r="K36" s="57">
        <f>IFERROR(J36+(VLOOKUP(G36,Scénario_Evolution,6,FALSE)*J36)+SUMIFS('3-Variations du fonctionnement'!$F$28:$F$37,'3-Variations du fonctionnement'!$B$28:$B$37,'2-Section de Fonctionnement'!A36),0)</f>
        <v>0</v>
      </c>
      <c r="L36" s="57">
        <f>IFERROR(K36+(VLOOKUP(G36,Scénario_Evolution,7,FALSE)*K36)+SUMIFS('3-Variations du fonctionnement'!$G$28:$G$37,'3-Variations du fonctionnement'!$B$28:$B$37,'2-Section de Fonctionnement'!A36),0)</f>
        <v>0</v>
      </c>
      <c r="M36" s="51">
        <f>IFERROR(L36+(VLOOKUP(G36,Scénario_Evolution,8,FALSE)*L36)+SUMIFS('3-Variations du fonctionnement'!$H$28:$H$37,'3-Variations du fonctionnement'!$B$28:$B$37,'2-Section de Fonctionnement'!A36),0)</f>
        <v>0</v>
      </c>
      <c r="O36" s="236">
        <f t="shared" si="3"/>
        <v>0</v>
      </c>
      <c r="P36" s="234"/>
      <c r="Q36" s="236">
        <f>-IFERROR((INDEX(C36:M36, MATCH('1-Informations-paramètres '!C$49, $C$9:$M$9, 0)) - INDEX(C36:M36, MATCH('1-Informations-paramètres '!C$50, $C$9:$M$9, 0))) / INDEX(C36:F36, MATCH('1-Informations-paramètres '!C$49, $C$9:$M$9, 0)), "0")</f>
        <v>0</v>
      </c>
    </row>
    <row r="37" spans="1:17" x14ac:dyDescent="0.25">
      <c r="A37" s="359"/>
      <c r="B37" s="412"/>
      <c r="C37" s="132"/>
      <c r="D37" s="132"/>
      <c r="E37" s="132"/>
      <c r="F37" s="132"/>
      <c r="G37" s="360"/>
      <c r="H37" s="56">
        <f>IFERROR(F37+(VLOOKUP(G37,Scénario_Evolution,3,FALSE)*F37)+SUMIFS('3-Variations du fonctionnement'!$C$28:$C$37,'3-Variations du fonctionnement'!$B$28:$B$37,'2-Section de Fonctionnement'!A37),0)</f>
        <v>0</v>
      </c>
      <c r="I37" s="57">
        <f>IFERROR(H37+(VLOOKUP(G37,Scénario_Evolution,4,FALSE)*H37)+SUMIFS('3-Variations du fonctionnement'!$D$28:$D$37,'3-Variations du fonctionnement'!$B$28:$B$37,'2-Section de Fonctionnement'!A37),0)</f>
        <v>0</v>
      </c>
      <c r="J37" s="57">
        <f>IFERROR(I37+(VLOOKUP(G37,Scénario_Evolution,5,FALSE)*I37)+SUMIFS('3-Variations du fonctionnement'!$E$28:$E$37,'3-Variations du fonctionnement'!$B$28:$B$37,'2-Section de Fonctionnement'!A37),0)</f>
        <v>0</v>
      </c>
      <c r="K37" s="57">
        <f>IFERROR(J37+(VLOOKUP(G37,Scénario_Evolution,6,FALSE)*J37)+SUMIFS('3-Variations du fonctionnement'!$F$28:$F$37,'3-Variations du fonctionnement'!$B$28:$B$37,'2-Section de Fonctionnement'!A37),0)</f>
        <v>0</v>
      </c>
      <c r="L37" s="57">
        <f>IFERROR(K37+(VLOOKUP(G37,Scénario_Evolution,7,FALSE)*K37)+SUMIFS('3-Variations du fonctionnement'!$G$28:$G$37,'3-Variations du fonctionnement'!$B$28:$B$37,'2-Section de Fonctionnement'!A37),0)</f>
        <v>0</v>
      </c>
      <c r="M37" s="51">
        <f>IFERROR(L37+(VLOOKUP(G37,Scénario_Evolution,8,FALSE)*L37)+SUMIFS('3-Variations du fonctionnement'!$H$28:$H$37,'3-Variations du fonctionnement'!$B$28:$B$37,'2-Section de Fonctionnement'!A37),0)</f>
        <v>0</v>
      </c>
      <c r="O37" s="236">
        <f t="shared" si="3"/>
        <v>0</v>
      </c>
      <c r="P37" s="234"/>
      <c r="Q37" s="236">
        <f>-IFERROR((INDEX(C37:M37, MATCH('1-Informations-paramètres '!C$49, $C$9:$M$9, 0)) - INDEX(C37:M37, MATCH('1-Informations-paramètres '!C$50, $C$9:$M$9, 0))) / INDEX(C37:F37, MATCH('1-Informations-paramètres '!C$49, $C$9:$M$9, 0)), "0")</f>
        <v>0</v>
      </c>
    </row>
    <row r="38" spans="1:17" x14ac:dyDescent="0.25">
      <c r="A38" s="359"/>
      <c r="B38" s="412"/>
      <c r="C38" s="132"/>
      <c r="D38" s="132"/>
      <c r="E38" s="132"/>
      <c r="F38" s="132"/>
      <c r="G38" s="360"/>
      <c r="H38" s="56">
        <f>IFERROR(F38+(VLOOKUP(G38,Scénario_Evolution,3,FALSE)*F38)+SUMIFS('3-Variations du fonctionnement'!$C$28:$C$37,'3-Variations du fonctionnement'!$B$28:$B$37,'2-Section de Fonctionnement'!A38),0)</f>
        <v>0</v>
      </c>
      <c r="I38" s="57">
        <f>IFERROR(H38+(VLOOKUP(G38,Scénario_Evolution,4,FALSE)*H38)+SUMIFS('3-Variations du fonctionnement'!$D$28:$D$37,'3-Variations du fonctionnement'!$B$28:$B$37,'2-Section de Fonctionnement'!A38),0)</f>
        <v>0</v>
      </c>
      <c r="J38" s="57">
        <f>IFERROR(I38+(VLOOKUP(G38,Scénario_Evolution,5,FALSE)*I38)+SUMIFS('3-Variations du fonctionnement'!$E$28:$E$37,'3-Variations du fonctionnement'!$B$28:$B$37,'2-Section de Fonctionnement'!A38),0)</f>
        <v>0</v>
      </c>
      <c r="K38" s="57">
        <f>IFERROR(J38+(VLOOKUP(G38,Scénario_Evolution,6,FALSE)*J38)+SUMIFS('3-Variations du fonctionnement'!$F$28:$F$37,'3-Variations du fonctionnement'!$B$28:$B$37,'2-Section de Fonctionnement'!A38),0)</f>
        <v>0</v>
      </c>
      <c r="L38" s="57">
        <f>IFERROR(K38+(VLOOKUP(G38,Scénario_Evolution,7,FALSE)*K38)+SUMIFS('3-Variations du fonctionnement'!$G$28:$G$37,'3-Variations du fonctionnement'!$B$28:$B$37,'2-Section de Fonctionnement'!A38),0)</f>
        <v>0</v>
      </c>
      <c r="M38" s="51">
        <f>IFERROR(L38+(VLOOKUP(G38,Scénario_Evolution,8,FALSE)*L38)+SUMIFS('3-Variations du fonctionnement'!$H$28:$H$37,'3-Variations du fonctionnement'!$B$28:$B$37,'2-Section de Fonctionnement'!A38),0)</f>
        <v>0</v>
      </c>
      <c r="O38" s="236">
        <f t="shared" si="3"/>
        <v>0</v>
      </c>
      <c r="P38" s="234"/>
      <c r="Q38" s="236">
        <f>-IFERROR((INDEX(C38:M38, MATCH('1-Informations-paramètres '!C$49, $C$9:$M$9, 0)) - INDEX(C38:M38, MATCH('1-Informations-paramètres '!C$50, $C$9:$M$9, 0))) / INDEX(C38:F38, MATCH('1-Informations-paramètres '!C$49, $C$9:$M$9, 0)), "0")</f>
        <v>0</v>
      </c>
    </row>
    <row r="39" spans="1:17" x14ac:dyDescent="0.25">
      <c r="A39" s="359"/>
      <c r="B39" s="412"/>
      <c r="C39" s="132"/>
      <c r="D39" s="132"/>
      <c r="E39" s="132"/>
      <c r="F39" s="132"/>
      <c r="G39" s="360"/>
      <c r="H39" s="56">
        <f>IFERROR(F39+(VLOOKUP(G39,Scénario_Evolution,3,FALSE)*F39)+SUMIFS('3-Variations du fonctionnement'!$C$28:$C$37,'3-Variations du fonctionnement'!$B$28:$B$37,'2-Section de Fonctionnement'!A39),0)</f>
        <v>0</v>
      </c>
      <c r="I39" s="57">
        <f>IFERROR(H39+(VLOOKUP(G39,Scénario_Evolution,4,FALSE)*H39)+SUMIFS('3-Variations du fonctionnement'!$D$28:$D$37,'3-Variations du fonctionnement'!$B$28:$B$37,'2-Section de Fonctionnement'!A39),0)</f>
        <v>0</v>
      </c>
      <c r="J39" s="57">
        <f>IFERROR(I39+(VLOOKUP(G39,Scénario_Evolution,5,FALSE)*I39)+SUMIFS('3-Variations du fonctionnement'!$E$28:$E$37,'3-Variations du fonctionnement'!$B$28:$B$37,'2-Section de Fonctionnement'!A39),0)</f>
        <v>0</v>
      </c>
      <c r="K39" s="57">
        <f>IFERROR(J39+(VLOOKUP(G39,Scénario_Evolution,6,FALSE)*J39)+SUMIFS('3-Variations du fonctionnement'!$F$28:$F$37,'3-Variations du fonctionnement'!$B$28:$B$37,'2-Section de Fonctionnement'!A39),0)</f>
        <v>0</v>
      </c>
      <c r="L39" s="57">
        <f>IFERROR(K39+(VLOOKUP(G39,Scénario_Evolution,7,FALSE)*K39)+SUMIFS('3-Variations du fonctionnement'!$G$28:$G$37,'3-Variations du fonctionnement'!$B$28:$B$37,'2-Section de Fonctionnement'!A39),0)</f>
        <v>0</v>
      </c>
      <c r="M39" s="51">
        <f>IFERROR(L39+(VLOOKUP(G39,Scénario_Evolution,8,FALSE)*L39)+SUMIFS('3-Variations du fonctionnement'!$H$28:$H$37,'3-Variations du fonctionnement'!$B$28:$B$37,'2-Section de Fonctionnement'!A39),0)</f>
        <v>0</v>
      </c>
      <c r="O39" s="236">
        <f t="shared" si="3"/>
        <v>0</v>
      </c>
      <c r="P39" s="234"/>
      <c r="Q39" s="236">
        <f>-IFERROR((INDEX(C39:M39, MATCH('1-Informations-paramètres '!C$49, $C$9:$M$9, 0)) - INDEX(C39:M39, MATCH('1-Informations-paramètres '!C$50, $C$9:$M$9, 0))) / INDEX(C39:F39, MATCH('1-Informations-paramètres '!C$49, $C$9:$M$9, 0)), "0")</f>
        <v>0</v>
      </c>
    </row>
    <row r="40" spans="1:17" x14ac:dyDescent="0.25">
      <c r="A40" s="359"/>
      <c r="B40" s="412"/>
      <c r="C40" s="132"/>
      <c r="D40" s="132"/>
      <c r="E40" s="132"/>
      <c r="F40" s="132"/>
      <c r="G40" s="360"/>
      <c r="H40" s="56">
        <f>IFERROR(F40+(VLOOKUP(G40,Scénario_Evolution,3,FALSE)*F40)+SUMIFS('3-Variations du fonctionnement'!$C$28:$C$37,'3-Variations du fonctionnement'!$B$28:$B$37,'2-Section de Fonctionnement'!A40),0)</f>
        <v>0</v>
      </c>
      <c r="I40" s="57">
        <f>IFERROR(H40+(VLOOKUP(G40,Scénario_Evolution,4,FALSE)*H40)+SUMIFS('3-Variations du fonctionnement'!$D$28:$D$37,'3-Variations du fonctionnement'!$B$28:$B$37,'2-Section de Fonctionnement'!A40),0)</f>
        <v>0</v>
      </c>
      <c r="J40" s="57">
        <f>IFERROR(I40+(VLOOKUP(G40,Scénario_Evolution,5,FALSE)*I40)+SUMIFS('3-Variations du fonctionnement'!$E$28:$E$37,'3-Variations du fonctionnement'!$B$28:$B$37,'2-Section de Fonctionnement'!A40),0)</f>
        <v>0</v>
      </c>
      <c r="K40" s="57">
        <f>IFERROR(J40+(VLOOKUP(G40,Scénario_Evolution,6,FALSE)*J40)+SUMIFS('3-Variations du fonctionnement'!$F$28:$F$37,'3-Variations du fonctionnement'!$B$28:$B$37,'2-Section de Fonctionnement'!A40),0)</f>
        <v>0</v>
      </c>
      <c r="L40" s="57">
        <f>IFERROR(K40+(VLOOKUP(G40,Scénario_Evolution,7,FALSE)*K40)+SUMIFS('3-Variations du fonctionnement'!$G$28:$G$37,'3-Variations du fonctionnement'!$B$28:$B$37,'2-Section de Fonctionnement'!A40),0)</f>
        <v>0</v>
      </c>
      <c r="M40" s="51">
        <f>IFERROR(L40+(VLOOKUP(G40,Scénario_Evolution,8,FALSE)*L40)+SUMIFS('3-Variations du fonctionnement'!$H$28:$H$37,'3-Variations du fonctionnement'!$B$28:$B$37,'2-Section de Fonctionnement'!A40),0)</f>
        <v>0</v>
      </c>
      <c r="O40" s="236">
        <f t="shared" si="3"/>
        <v>0</v>
      </c>
      <c r="P40" s="234"/>
      <c r="Q40" s="236">
        <f>-IFERROR((INDEX(C40:M40, MATCH('1-Informations-paramètres '!C$49, $C$9:$M$9, 0)) - INDEX(C40:M40, MATCH('1-Informations-paramètres '!C$50, $C$9:$M$9, 0))) / INDEX(C40:F40, MATCH('1-Informations-paramètres '!C$49, $C$9:$M$9, 0)), "0")</f>
        <v>0</v>
      </c>
    </row>
    <row r="41" spans="1:17" x14ac:dyDescent="0.25">
      <c r="A41" s="359"/>
      <c r="B41" s="412"/>
      <c r="C41" s="132"/>
      <c r="D41" s="132"/>
      <c r="E41" s="132"/>
      <c r="F41" s="132"/>
      <c r="G41" s="360"/>
      <c r="H41" s="56">
        <f>IFERROR(F41+(VLOOKUP(G41,Scénario_Evolution,3,FALSE)*F41)+SUMIFS('3-Variations du fonctionnement'!$C$28:$C$37,'3-Variations du fonctionnement'!$B$28:$B$37,'2-Section de Fonctionnement'!A41),0)</f>
        <v>0</v>
      </c>
      <c r="I41" s="57">
        <f>IFERROR(H41+(VLOOKUP(G41,Scénario_Evolution,4,FALSE)*H41)+SUMIFS('3-Variations du fonctionnement'!$D$28:$D$37,'3-Variations du fonctionnement'!$B$28:$B$37,'2-Section de Fonctionnement'!A41),0)</f>
        <v>0</v>
      </c>
      <c r="J41" s="57">
        <f>IFERROR(I41+(VLOOKUP(G41,Scénario_Evolution,5,FALSE)*I41)+SUMIFS('3-Variations du fonctionnement'!$E$28:$E$37,'3-Variations du fonctionnement'!$B$28:$B$37,'2-Section de Fonctionnement'!A41),0)</f>
        <v>0</v>
      </c>
      <c r="K41" s="57">
        <f>IFERROR(J41+(VLOOKUP(G41,Scénario_Evolution,6,FALSE)*J41)+SUMIFS('3-Variations du fonctionnement'!$F$28:$F$37,'3-Variations du fonctionnement'!$B$28:$B$37,'2-Section de Fonctionnement'!A41),0)</f>
        <v>0</v>
      </c>
      <c r="L41" s="57">
        <f>IFERROR(K41+(VLOOKUP(G41,Scénario_Evolution,7,FALSE)*K41)+SUMIFS('3-Variations du fonctionnement'!$G$28:$G$37,'3-Variations du fonctionnement'!$B$28:$B$37,'2-Section de Fonctionnement'!A41),0)</f>
        <v>0</v>
      </c>
      <c r="M41" s="51">
        <f>IFERROR(L41+(VLOOKUP(G41,Scénario_Evolution,8,FALSE)*L41)+SUMIFS('3-Variations du fonctionnement'!$H$28:$H$37,'3-Variations du fonctionnement'!$B$28:$B$37,'2-Section de Fonctionnement'!A41),0)</f>
        <v>0</v>
      </c>
      <c r="O41" s="236">
        <f t="shared" si="3"/>
        <v>0</v>
      </c>
      <c r="P41" s="234"/>
      <c r="Q41" s="236">
        <f>-IFERROR((INDEX(C41:M41, MATCH('1-Informations-paramètres '!C$49, $C$9:$M$9, 0)) - INDEX(C41:M41, MATCH('1-Informations-paramètres '!C$50, $C$9:$M$9, 0))) / INDEX(C41:F41, MATCH('1-Informations-paramètres '!C$49, $C$9:$M$9, 0)), "0")</f>
        <v>0</v>
      </c>
    </row>
    <row r="42" spans="1:17" x14ac:dyDescent="0.25">
      <c r="A42" s="359"/>
      <c r="B42" s="412"/>
      <c r="C42" s="132"/>
      <c r="D42" s="132"/>
      <c r="E42" s="132"/>
      <c r="F42" s="132"/>
      <c r="G42" s="360"/>
      <c r="H42" s="56">
        <f>IFERROR(F42+(VLOOKUP(G42,Scénario_Evolution,3,FALSE)*F42)+SUMIFS('3-Variations du fonctionnement'!$C$28:$C$37,'3-Variations du fonctionnement'!$B$28:$B$37,'2-Section de Fonctionnement'!A42),0)</f>
        <v>0</v>
      </c>
      <c r="I42" s="57">
        <f>IFERROR(H42+(VLOOKUP(G42,Scénario_Evolution,4,FALSE)*H42)+SUMIFS('3-Variations du fonctionnement'!$D$28:$D$37,'3-Variations du fonctionnement'!$B$28:$B$37,'2-Section de Fonctionnement'!A42),0)</f>
        <v>0</v>
      </c>
      <c r="J42" s="57">
        <f>IFERROR(I42+(VLOOKUP(G42,Scénario_Evolution,5,FALSE)*I42)+SUMIFS('3-Variations du fonctionnement'!$E$28:$E$37,'3-Variations du fonctionnement'!$B$28:$B$37,'2-Section de Fonctionnement'!A42),0)</f>
        <v>0</v>
      </c>
      <c r="K42" s="57">
        <f>IFERROR(J42+(VLOOKUP(G42,Scénario_Evolution,6,FALSE)*J42)+SUMIFS('3-Variations du fonctionnement'!$F$28:$F$37,'3-Variations du fonctionnement'!$B$28:$B$37,'2-Section de Fonctionnement'!A42),0)</f>
        <v>0</v>
      </c>
      <c r="L42" s="57">
        <f>IFERROR(K42+(VLOOKUP(G42,Scénario_Evolution,7,FALSE)*K42)+SUMIFS('3-Variations du fonctionnement'!$G$28:$G$37,'3-Variations du fonctionnement'!$B$28:$B$37,'2-Section de Fonctionnement'!A42),0)</f>
        <v>0</v>
      </c>
      <c r="M42" s="51">
        <f>IFERROR(L42+(VLOOKUP(G42,Scénario_Evolution,8,FALSE)*L42)+SUMIFS('3-Variations du fonctionnement'!$H$28:$H$37,'3-Variations du fonctionnement'!$B$28:$B$37,'2-Section de Fonctionnement'!A42),0)</f>
        <v>0</v>
      </c>
      <c r="O42" s="236">
        <f t="shared" si="3"/>
        <v>0</v>
      </c>
      <c r="P42" s="234"/>
      <c r="Q42" s="236">
        <f>-IFERROR((INDEX(C42:M42, MATCH('1-Informations-paramètres '!C$49, $C$9:$M$9, 0)) - INDEX(C42:M42, MATCH('1-Informations-paramètres '!C$50, $C$9:$M$9, 0))) / INDEX(C42:F42, MATCH('1-Informations-paramètres '!C$49, $C$9:$M$9, 0)), "0")</f>
        <v>0</v>
      </c>
    </row>
    <row r="43" spans="1:17" x14ac:dyDescent="0.25">
      <c r="A43" s="359"/>
      <c r="B43" s="412"/>
      <c r="C43" s="132"/>
      <c r="D43" s="132"/>
      <c r="E43" s="132"/>
      <c r="F43" s="132"/>
      <c r="G43" s="360"/>
      <c r="H43" s="56">
        <f>IFERROR(F43+(VLOOKUP(G43,Scénario_Evolution,3,FALSE)*F43)+SUMIFS('3-Variations du fonctionnement'!$C$28:$C$37,'3-Variations du fonctionnement'!$B$28:$B$37,'2-Section de Fonctionnement'!A43),0)</f>
        <v>0</v>
      </c>
      <c r="I43" s="57">
        <f>IFERROR(H43+(VLOOKUP(G43,Scénario_Evolution,4,FALSE)*H43)+SUMIFS('3-Variations du fonctionnement'!$D$28:$D$37,'3-Variations du fonctionnement'!$B$28:$B$37,'2-Section de Fonctionnement'!A43),0)</f>
        <v>0</v>
      </c>
      <c r="J43" s="57">
        <f>IFERROR(I43+(VLOOKUP(G43,Scénario_Evolution,5,FALSE)*I43)+SUMIFS('3-Variations du fonctionnement'!$E$28:$E$37,'3-Variations du fonctionnement'!$B$28:$B$37,'2-Section de Fonctionnement'!A43),0)</f>
        <v>0</v>
      </c>
      <c r="K43" s="57">
        <f>IFERROR(J43+(VLOOKUP(G43,Scénario_Evolution,6,FALSE)*J43)+SUMIFS('3-Variations du fonctionnement'!$F$28:$F$37,'3-Variations du fonctionnement'!$B$28:$B$37,'2-Section de Fonctionnement'!A43),0)</f>
        <v>0</v>
      </c>
      <c r="L43" s="57">
        <f>IFERROR(K43+(VLOOKUP(G43,Scénario_Evolution,7,FALSE)*K43)+SUMIFS('3-Variations du fonctionnement'!$G$28:$G$37,'3-Variations du fonctionnement'!$B$28:$B$37,'2-Section de Fonctionnement'!A43),0)</f>
        <v>0</v>
      </c>
      <c r="M43" s="51">
        <f>IFERROR(L43+(VLOOKUP(G43,Scénario_Evolution,8,FALSE)*L43)+SUMIFS('3-Variations du fonctionnement'!$H$28:$H$37,'3-Variations du fonctionnement'!$B$28:$B$37,'2-Section de Fonctionnement'!A43),0)</f>
        <v>0</v>
      </c>
      <c r="O43" s="236">
        <f t="shared" si="3"/>
        <v>0</v>
      </c>
      <c r="P43" s="234"/>
      <c r="Q43" s="236">
        <f>-IFERROR((INDEX(C43:M43, MATCH('1-Informations-paramètres '!C$49, $C$9:$M$9, 0)) - INDEX(C43:M43, MATCH('1-Informations-paramètres '!C$50, $C$9:$M$9, 0))) / INDEX(C43:F43, MATCH('1-Informations-paramètres '!C$49, $C$9:$M$9, 0)), "0")</f>
        <v>0</v>
      </c>
    </row>
    <row r="44" spans="1:17" ht="15" thickBot="1" x14ac:dyDescent="0.3">
      <c r="A44" s="157" t="s">
        <v>12</v>
      </c>
      <c r="B44" s="411"/>
      <c r="C44" s="393">
        <f>C29-SUM(C30:C43)</f>
        <v>0</v>
      </c>
      <c r="D44" s="393">
        <f>D29-SUM(D30:D43)</f>
        <v>0</v>
      </c>
      <c r="E44" s="393">
        <f>E29-SUM(E30:E43)</f>
        <v>0</v>
      </c>
      <c r="F44" s="393">
        <f>F29-SUM(F30:F43)</f>
        <v>0</v>
      </c>
      <c r="G44" s="361"/>
      <c r="H44" s="392">
        <f>IFERROR(F44+(VLOOKUP(G44,Scénario_Evolution,3,FALSE)*F44)+SUMIFS('3-Variations du fonctionnement'!$C$28:$C$37,'3-Variations du fonctionnement'!$B$28:$B$37,'2-Section de Fonctionnement'!A44),0)</f>
        <v>0</v>
      </c>
      <c r="I44" s="393">
        <f>IFERROR(H44+(VLOOKUP(G44,Scénario_Evolution,4,FALSE)*H44)+SUMIFS('3-Variations du fonctionnement'!$D$28:$D$37,'3-Variations du fonctionnement'!$B$28:$B$37,'2-Section de Fonctionnement'!A44),0)</f>
        <v>0</v>
      </c>
      <c r="J44" s="393">
        <f>IFERROR(I44+(VLOOKUP(G44,Scénario_Evolution,5,FALSE)*I44)+SUMIFS('3-Variations du fonctionnement'!$E$28:$E$37,'3-Variations du fonctionnement'!$B$28:$B$37,'2-Section de Fonctionnement'!A44),0)</f>
        <v>0</v>
      </c>
      <c r="K44" s="393">
        <f>IFERROR(J44+(VLOOKUP(G44,Scénario_Evolution,6,FALSE)*J44)+SUMIFS('3-Variations du fonctionnement'!$F$28:$F$37,'3-Variations du fonctionnement'!$B$28:$B$37,'2-Section de Fonctionnement'!A44),0)</f>
        <v>0</v>
      </c>
      <c r="L44" s="393">
        <f>IFERROR(K44+(VLOOKUP(G44,Scénario_Evolution,7,FALSE)*K44)+SUMIFS('3-Variations du fonctionnement'!$G$28:$G$37,'3-Variations du fonctionnement'!$B$28:$B$37,'2-Section de Fonctionnement'!A44),0)</f>
        <v>0</v>
      </c>
      <c r="M44" s="395">
        <f>IFERROR(L44+(VLOOKUP(G44,Scénario_Evolution,8,FALSE)*L44)+SUMIFS('3-Variations du fonctionnement'!$H$28:$H$37,'3-Variations du fonctionnement'!$B$28:$B$37,'2-Section de Fonctionnement'!A44),0)</f>
        <v>0</v>
      </c>
      <c r="O44" s="237">
        <f t="shared" si="3"/>
        <v>0</v>
      </c>
      <c r="P44" s="234"/>
      <c r="Q44" s="237">
        <f>-IFERROR((INDEX(C44:M44, MATCH('1-Informations-paramètres '!C$49, $C$9:$M$9, 0)) - INDEX(C44:M44, MATCH('1-Informations-paramètres '!C$50, $C$9:$M$9, 0))) / INDEX(C44:F44, MATCH('1-Informations-paramètres '!C$49, $C$9:$M$9, 0)), "0")</f>
        <v>0</v>
      </c>
    </row>
    <row r="45" spans="1:17" ht="15" thickBot="1" x14ac:dyDescent="0.3">
      <c r="O45" s="48"/>
      <c r="Q45" s="48"/>
    </row>
    <row r="46" spans="1:17" ht="28.5" x14ac:dyDescent="0.25">
      <c r="A46" s="470" t="s">
        <v>107</v>
      </c>
      <c r="B46" s="471"/>
      <c r="C46" s="204">
        <f>C28</f>
        <v>0</v>
      </c>
      <c r="D46" s="204">
        <f>C46+1</f>
        <v>1</v>
      </c>
      <c r="E46" s="204">
        <f>D46+1</f>
        <v>2</v>
      </c>
      <c r="F46" s="205">
        <f>E46+1</f>
        <v>3</v>
      </c>
      <c r="H46" s="206">
        <f>F46+1</f>
        <v>4</v>
      </c>
      <c r="I46" s="204">
        <f>H46+1</f>
        <v>5</v>
      </c>
      <c r="J46" s="204">
        <f>I46+1</f>
        <v>6</v>
      </c>
      <c r="K46" s="204">
        <f>J46+1</f>
        <v>7</v>
      </c>
      <c r="L46" s="204">
        <f>K46+1</f>
        <v>8</v>
      </c>
      <c r="M46" s="205">
        <f>L46+1</f>
        <v>9</v>
      </c>
      <c r="O46" s="227" t="str">
        <f>O28</f>
        <v>Evolution 0/3</v>
      </c>
      <c r="Q46" s="227" t="str">
        <f>"Evolution " &amp;'1-Informations-paramètres '!C49 &amp;"/" &amp;'1-Informations-paramètres '!C50</f>
        <v>Evolution /</v>
      </c>
    </row>
    <row r="47" spans="1:17" x14ac:dyDescent="0.25">
      <c r="A47" s="476" t="s">
        <v>35</v>
      </c>
      <c r="B47" s="477"/>
      <c r="C47" s="59">
        <f t="shared" ref="C47:M47" si="4">C29-C10</f>
        <v>0</v>
      </c>
      <c r="D47" s="59">
        <f t="shared" si="4"/>
        <v>0</v>
      </c>
      <c r="E47" s="59">
        <f t="shared" si="4"/>
        <v>0</v>
      </c>
      <c r="F47" s="60">
        <f t="shared" si="4"/>
        <v>0</v>
      </c>
      <c r="G47" s="41"/>
      <c r="H47" s="58">
        <f t="shared" si="4"/>
        <v>0</v>
      </c>
      <c r="I47" s="59">
        <f t="shared" si="4"/>
        <v>0</v>
      </c>
      <c r="J47" s="59">
        <f t="shared" si="4"/>
        <v>0</v>
      </c>
      <c r="K47" s="59">
        <f t="shared" si="4"/>
        <v>0</v>
      </c>
      <c r="L47" s="59">
        <f t="shared" si="4"/>
        <v>0</v>
      </c>
      <c r="M47" s="60">
        <f t="shared" si="4"/>
        <v>0</v>
      </c>
      <c r="O47" s="91">
        <f t="shared" ref="O47:O51" si="5">IFERROR((F47-C47)/C47,0)</f>
        <v>0</v>
      </c>
      <c r="P47" s="234"/>
      <c r="Q47" s="91">
        <f>-IFERROR((INDEX(C47:M47, MATCH('1-Informations-paramètres '!C$49, $C$9:$M$9, 0)) - INDEX(C47:M47, MATCH('1-Informations-paramètres '!C$50, $C$9:$M$9, 0))) / INDEX(C47:F47, MATCH('1-Informations-paramètres '!C$49, $C$9:$M$9, 0)), "0")</f>
        <v>0</v>
      </c>
    </row>
    <row r="48" spans="1:17" x14ac:dyDescent="0.25">
      <c r="A48" s="478" t="s">
        <v>137</v>
      </c>
      <c r="B48" s="479"/>
      <c r="C48" s="57">
        <f>C47+SUMIFS(C11:C26,$B$11:$B$26,"Non")-SUMIFS(C30:C44,$B$30:$B$44,"Non")</f>
        <v>0</v>
      </c>
      <c r="D48" s="57">
        <f t="shared" ref="D48:F48" si="6">D47+SUMIFS(D11:D26,$B$11:$B$26,"Non")-SUMIFS(D30:D44,$B$30:$B$44,"Non")</f>
        <v>0</v>
      </c>
      <c r="E48" s="57">
        <f t="shared" si="6"/>
        <v>0</v>
      </c>
      <c r="F48" s="51">
        <f t="shared" si="6"/>
        <v>0</v>
      </c>
      <c r="G48" s="41"/>
      <c r="H48" s="61">
        <f>H47+SUMIFS(H11:H26,$B$11:$B$26,"Non")-SUMIFS(H30:H44,$B$30:$B$44,"Non")</f>
        <v>0</v>
      </c>
      <c r="I48" s="57">
        <f t="shared" ref="I48:M48" si="7">I47+SUMIFS(I11:I26,$B$11:$B$26,"Non")-SUMIFS(I30:I44,$B$30:$B$44,"Non")</f>
        <v>0</v>
      </c>
      <c r="J48" s="57">
        <f>J47+SUMIFS(J11:J26,$B$11:$B$26,"Non")-SUMIFS(J30:J44,$B$30:$B$44,"Non")</f>
        <v>0</v>
      </c>
      <c r="K48" s="57">
        <f t="shared" si="7"/>
        <v>0</v>
      </c>
      <c r="L48" s="57">
        <f t="shared" si="7"/>
        <v>0</v>
      </c>
      <c r="M48" s="51">
        <f t="shared" si="7"/>
        <v>0</v>
      </c>
      <c r="O48" s="236">
        <f t="shared" si="5"/>
        <v>0</v>
      </c>
      <c r="P48" s="234"/>
      <c r="Q48" s="236">
        <f>-IFERROR((INDEX(C48:M48, MATCH('1-Informations-paramètres '!C$49, $C$9:$M$9, 0)) - INDEX(C48:M48, MATCH('1-Informations-paramètres '!C$50, $C$9:$M$9, 0))) / INDEX(C48:F48, MATCH('1-Informations-paramètres '!C$49, $C$9:$M$9, 0)), "0")</f>
        <v>0</v>
      </c>
    </row>
    <row r="49" spans="1:17" x14ac:dyDescent="0.25">
      <c r="A49" s="478" t="s">
        <v>135</v>
      </c>
      <c r="B49" s="479"/>
      <c r="C49" s="57">
        <f>C47-'5-Recours à la dette '!B6</f>
        <v>0</v>
      </c>
      <c r="D49" s="57">
        <f>D47-'5-Recours à la dette '!C6</f>
        <v>0</v>
      </c>
      <c r="E49" s="57">
        <f>E47-'5-Recours à la dette '!D6</f>
        <v>0</v>
      </c>
      <c r="F49" s="51">
        <f>F47-'5-Recours à la dette '!E6</f>
        <v>0</v>
      </c>
      <c r="G49" s="41"/>
      <c r="H49" s="61">
        <f>H47-'4-Section d''Investissement'!G16</f>
        <v>0</v>
      </c>
      <c r="I49" s="57">
        <f>I47-'4-Section d''Investissement'!H16</f>
        <v>0</v>
      </c>
      <c r="J49" s="57">
        <f>J47-'4-Section d''Investissement'!I16</f>
        <v>0</v>
      </c>
      <c r="K49" s="57">
        <f>K47-'4-Section d''Investissement'!J16</f>
        <v>0</v>
      </c>
      <c r="L49" s="57">
        <f>L47-'4-Section d''Investissement'!K16</f>
        <v>0</v>
      </c>
      <c r="M49" s="51">
        <f>M47-'4-Section d''Investissement'!L16</f>
        <v>0</v>
      </c>
      <c r="O49" s="236">
        <f t="shared" si="5"/>
        <v>0</v>
      </c>
      <c r="P49" s="234"/>
      <c r="Q49" s="236">
        <f>-IFERROR((INDEX(C49:M49, MATCH('1-Informations-paramètres '!C$49, $C$9:$M$9, 0)) - INDEX(C49:M49, MATCH('1-Informations-paramètres '!C$50, $C$9:$M$9, 0))) / INDEX(C49:F49, MATCH('1-Informations-paramètres '!C$49, $C$9:$M$9, 0)), "0")</f>
        <v>0</v>
      </c>
    </row>
    <row r="50" spans="1:17" x14ac:dyDescent="0.25">
      <c r="A50" s="478" t="s">
        <v>136</v>
      </c>
      <c r="B50" s="479"/>
      <c r="C50" s="434">
        <f>C49+SUMIFS(C11:C26,$B$11:$B$26,"Non")-SUMIFS(C30:C44,$B$30:$B$44,"Non")</f>
        <v>0</v>
      </c>
      <c r="D50" s="434">
        <f t="shared" ref="D50:F50" si="8">D49+SUMIFS(D11:D26,$B$11:$B$26,"Non")-SUMIFS(D30:D44,$B$30:$B$44,"Non")</f>
        <v>0</v>
      </c>
      <c r="E50" s="434">
        <f t="shared" si="8"/>
        <v>0</v>
      </c>
      <c r="F50" s="435">
        <f t="shared" si="8"/>
        <v>0</v>
      </c>
      <c r="G50" s="41"/>
      <c r="H50" s="436">
        <f t="shared" ref="H50" si="9">H49+SUMIFS(H11:H26,$B$11:$B$26,"Non")-SUMIFS(H30:H44,$B$30:$B$44,"Non")</f>
        <v>0</v>
      </c>
      <c r="I50" s="434">
        <f t="shared" ref="I50" si="10">I49+SUMIFS(I11:I26,$B$11:$B$26,"Non")-SUMIFS(I30:I44,$B$30:$B$44,"Non")</f>
        <v>0</v>
      </c>
      <c r="J50" s="434">
        <f t="shared" ref="J50" si="11">J49+SUMIFS(J11:J26,$B$11:$B$26,"Non")-SUMIFS(J30:J44,$B$30:$B$44,"Non")</f>
        <v>0</v>
      </c>
      <c r="K50" s="434">
        <f t="shared" ref="K50" si="12">K49+SUMIFS(K11:K26,$B$11:$B$26,"Non")-SUMIFS(K30:K44,$B$30:$B$44,"Non")</f>
        <v>0</v>
      </c>
      <c r="L50" s="434">
        <f t="shared" ref="L50" si="13">L49+SUMIFS(L11:L26,$B$11:$B$26,"Non")-SUMIFS(L30:L44,$B$30:$B$44,"Non")</f>
        <v>0</v>
      </c>
      <c r="M50" s="435">
        <f t="shared" ref="M50" si="14">M49+SUMIFS(M11:M26,$B$11:$B$26,"Non")-SUMIFS(M30:M44,$B$30:$B$44,"Non")</f>
        <v>0</v>
      </c>
      <c r="O50" s="437"/>
      <c r="P50" s="234"/>
      <c r="Q50" s="437"/>
    </row>
    <row r="51" spans="1:17" ht="15" thickBot="1" x14ac:dyDescent="0.3">
      <c r="A51" s="468" t="s">
        <v>36</v>
      </c>
      <c r="B51" s="469"/>
      <c r="C51" s="231">
        <f>IFERROR(C48/C29,0)</f>
        <v>0</v>
      </c>
      <c r="D51" s="232">
        <f>IFERROR(D48/D29,0)</f>
        <v>0</v>
      </c>
      <c r="E51" s="232">
        <f>IFERROR(E48/E29,0)</f>
        <v>0</v>
      </c>
      <c r="F51" s="233">
        <f>IFERROR(F48/F29,0)</f>
        <v>0</v>
      </c>
      <c r="G51" s="234"/>
      <c r="H51" s="235">
        <f t="shared" ref="H51:M51" si="15">IFERROR(H48/H29,0)</f>
        <v>0</v>
      </c>
      <c r="I51" s="232">
        <f t="shared" si="15"/>
        <v>0</v>
      </c>
      <c r="J51" s="232">
        <f t="shared" si="15"/>
        <v>0</v>
      </c>
      <c r="K51" s="232">
        <f t="shared" si="15"/>
        <v>0</v>
      </c>
      <c r="L51" s="232">
        <f t="shared" si="15"/>
        <v>0</v>
      </c>
      <c r="M51" s="233">
        <f t="shared" si="15"/>
        <v>0</v>
      </c>
      <c r="O51" s="237">
        <f t="shared" si="5"/>
        <v>0</v>
      </c>
      <c r="P51" s="234"/>
      <c r="Q51" s="237">
        <f>-IFERROR((INDEX(C51:M51, MATCH('1-Informations-paramètres '!C$49, $C$9:$M$9, 0)) - INDEX(C51:M51, MATCH('1-Informations-paramètres '!C$50, $C$9:$M$9, 0))) / INDEX(C51:F51, MATCH('1-Informations-paramètres '!C$49, $C$9:$M$9, 0)), "0")</f>
        <v>0</v>
      </c>
    </row>
    <row r="52" spans="1:17" x14ac:dyDescent="0.25">
      <c r="Q52" s="48"/>
    </row>
    <row r="53" spans="1:17" x14ac:dyDescent="0.25">
      <c r="B53" s="355"/>
    </row>
    <row r="54" spans="1:17" x14ac:dyDescent="0.25">
      <c r="A54" s="39" t="s">
        <v>134</v>
      </c>
    </row>
    <row r="56" spans="1:17" hidden="1" x14ac:dyDescent="0.25">
      <c r="A56" s="39" t="s">
        <v>30</v>
      </c>
    </row>
    <row r="57" spans="1:17" hidden="1" x14ac:dyDescent="0.25">
      <c r="A57" s="39" t="s">
        <v>31</v>
      </c>
    </row>
  </sheetData>
  <sheetProtection algorithmName="SHA-512" hashValue="fY1g2bqeLfr2BQE9ydp0f+f7nSjqRUPnahTpLCibyDgaD9ac7+upvY8CQHnMKALd4kowW98engEWis3+W7dMiQ==" saltValue="5DW9lUL9cj7FS1MdHbQ8ng==" spinCount="100000" sheet="1" objects="1" scenarios="1" formatRows="0"/>
  <mergeCells count="15">
    <mergeCell ref="A51:B51"/>
    <mergeCell ref="A46:B46"/>
    <mergeCell ref="A2:M2"/>
    <mergeCell ref="A1:Q1"/>
    <mergeCell ref="A47:B47"/>
    <mergeCell ref="A48:B48"/>
    <mergeCell ref="A49:B49"/>
    <mergeCell ref="G9:G10"/>
    <mergeCell ref="G28:G29"/>
    <mergeCell ref="C7:F7"/>
    <mergeCell ref="H7:M7"/>
    <mergeCell ref="B4:C4"/>
    <mergeCell ref="B5:C5"/>
    <mergeCell ref="B3:C3"/>
    <mergeCell ref="A50:B50"/>
  </mergeCells>
  <conditionalFormatting sqref="C51:F51 H51:M51">
    <cfRule type="iconSet" priority="1">
      <iconSet iconSet="3Flags">
        <cfvo type="percent" val="0"/>
        <cfvo type="num" val="0"/>
        <cfvo type="num" val="0.1"/>
      </iconSet>
    </cfRule>
  </conditionalFormatting>
  <dataValidations xWindow="209" yWindow="704" count="5">
    <dataValidation type="list" allowBlank="1" showInputMessage="1" showErrorMessage="1" sqref="B11:B12" xr:uid="{A662D4C7-C7C3-4EC9-95A5-57F24EBA01D3}">
      <formula1>$A$56:$A$57</formula1>
    </dataValidation>
    <dataValidation allowBlank="1" showInputMessage="1" showErrorMessage="1" sqref="Q9" xr:uid="{427183A2-DBBF-4FD0-B314-5560B7A702BE}"/>
    <dataValidation type="decimal" operator="greaterThanOrEqual" allowBlank="1" showErrorMessage="1" errorTitle="Attention" error="Le nombre saisi doit être suppérieur ou égale à zéro." sqref="B4:C5" xr:uid="{CBE57799-5D89-4DD2-ABDC-4B206582B387}">
      <formula1>0</formula1>
    </dataValidation>
    <dataValidation type="list" allowBlank="1" showErrorMessage="1" errorTitle="Erreur " error="Merci de saisir &quot;Oui ou Non&quot;" sqref="B13:B26" xr:uid="{D5891DB6-7DD2-4C62-B55F-EB4E351F46AA}">
      <formula1>$A$56:$A$57</formula1>
    </dataValidation>
    <dataValidation type="list" allowBlank="1" showErrorMessage="1" errorTitle="Erreur" error="Merci de saisir &quot;Oui&quot; ou &quot;Non&quot;" sqref="B30:B44" xr:uid="{BB183724-F6FA-4953-B742-3E021B0A4CD9}">
      <formula1>$A$56:$A$57</formula1>
    </dataValidation>
  </dataValidations>
  <pageMargins left="0.7" right="0.7" top="0.75" bottom="0.75" header="0.3" footer="0.3"/>
  <pageSetup paperSize="8" scale="7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4B786154-27B7-471E-B657-B80AAC2EEF05}">
            <x14:iconSet iconSet="3Flags" custom="1">
              <x14:cfvo type="percent">
                <xm:f>0</xm:f>
              </x14:cfvo>
              <x14:cfvo type="num">
                <xm:f>0</xm:f>
              </x14:cfvo>
              <x14:cfvo type="num">
                <xm:f>0</xm:f>
              </x14:cfvo>
              <x14:cfIcon iconSet="3Flags" iconId="0"/>
              <x14:cfIcon iconSet="NoIcons" iconId="0"/>
              <x14:cfIcon iconSet="NoIcons" iconId="0"/>
            </x14:iconSet>
          </x14:cfRule>
          <xm:sqref>C49:F50 H49:M50</xm:sqref>
        </x14:conditionalFormatting>
      </x14:conditionalFormattings>
    </ext>
    <ext xmlns:x14="http://schemas.microsoft.com/office/spreadsheetml/2009/9/main" uri="{CCE6A557-97BC-4b89-ADB6-D9C93CAAB3DF}">
      <x14:dataValidations xmlns:xm="http://schemas.microsoft.com/office/excel/2006/main" xWindow="209" yWindow="704" count="8">
        <x14:dataValidation type="list" showErrorMessage="1" errorTitle="Saisie non conforme" error="Vous devez choisir une entrée parmis la liste déroulante (en cliquant sur la flêche à droite de la cellule)._x000a_Cette liste peut être modifiée dans dans l'onglet &quot;1-Informations et paramétrages&quot;." xr:uid="{1C4F0267-6925-4E78-8A4A-F174EFF3B62B}">
          <x14:formula1>
            <xm:f>'1-Informations-paramètres '!$D$20:$D$33</xm:f>
          </x14:formula1>
          <xm:sqref>A30:A43</xm:sqref>
        </x14:dataValidation>
        <x14:dataValidation type="list" allowBlank="1" showErrorMessage="1" errorTitle="Saisie non conforme" error="Vous devez choisir une entrée parmis la liste déroulante (en cliquant sur la flêche à droite de la cellule)._x000a_Cette liste peut être modifiée dans dans l'onglet &quot;3-Variation prospective - Section de fonctionnement&quot;." xr:uid="{F911C6EB-5926-466C-83D5-6C2D6F9FCC37}">
          <x14:formula1>
            <xm:f>'3-Variations du fonctionnement'!$A$4:$A$13</xm:f>
          </x14:formula1>
          <xm:sqref>G30:G44</xm:sqref>
        </x14:dataValidation>
        <x14:dataValidation type="list" allowBlank="1" showInputMessage="1" showErrorMessage="1" xr:uid="{059CDF66-1760-4905-9E9B-A472ACBDD6D0}">
          <x14:formula1>
            <xm:f>'1-Informations-paramètres '!$B$55:$B$62</xm:f>
          </x14:formula1>
          <xm:sqref>Q4</xm:sqref>
        </x14:dataValidation>
        <x14:dataValidation type="list" allowBlank="1" showInputMessage="1" showErrorMessage="1" xr:uid="{B58DEC4E-456A-4402-9111-5217DBD886AE}">
          <x14:formula1>
            <xm:f>'1-Informations-paramètres '!$B$56:$B$63</xm:f>
          </x14:formula1>
          <xm:sqref>R4</xm:sqref>
        </x14:dataValidation>
        <x14:dataValidation type="list" allowBlank="1" showInputMessage="1" showErrorMessage="1" errorTitle="Saisie non conforme" error="Vous devez choisir une entrée parmis la liste déroulante (en cliquant sur la flêche à droite de la cellule)._x000a_Cette liste peut être modifiée dans dans l'onglet &quot;1-Informations et paramétrages&quot;." xr:uid="{27F497CB-3123-4A0B-B9B7-99E9450B9199}">
          <x14:formula1>
            <xm:f>'1-Informations-paramètres '!$B$22:$B$33</xm:f>
          </x14:formula1>
          <xm:sqref>A13:A25</xm:sqref>
        </x14:dataValidation>
        <x14:dataValidation type="list" allowBlank="1" showInputMessage="1" showErrorMessage="1" xr:uid="{DFC3E2BA-38CF-4947-923B-A2EA7A584B01}">
          <x14:formula1>
            <xm:f>'1-Informations-paramètres '!$B$20</xm:f>
          </x14:formula1>
          <xm:sqref>A11</xm:sqref>
        </x14:dataValidation>
        <x14:dataValidation type="list" allowBlank="1" showInputMessage="1" showErrorMessage="1" xr:uid="{64A3ED7E-C13E-4D9E-87F5-A4C770D8F3C5}">
          <x14:formula1>
            <xm:f>'1-Informations-paramètres '!$B$21</xm:f>
          </x14:formula1>
          <xm:sqref>A12</xm:sqref>
        </x14:dataValidation>
        <x14:dataValidation type="list" showErrorMessage="1" errorTitle="Saisie non conforme" error="Vous devez choisir une entrée parmis la liste déroulante (en cliquant sur la flêche à droite de la cellule)._x000a_Cette liste peut être modifiée dans dans l'onglet &quot;3-Variation prospective - Section de fonctionnement&quot;." xr:uid="{7BD76903-C97E-43CD-BC92-DB3DE83A0FB9}">
          <x14:formula1>
            <xm:f>'3-Variations du fonctionnement'!$A$4:$A$13</xm:f>
          </x14:formula1>
          <xm:sqref>G13:G26 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41CE-F5A1-427F-8563-646FF7A74C5B}">
  <sheetPr codeName="Feuil3">
    <pageSetUpPr fitToPage="1"/>
  </sheetPr>
  <dimension ref="A1:P37"/>
  <sheetViews>
    <sheetView zoomScale="80" zoomScaleNormal="80" workbookViewId="0">
      <selection activeCell="D10" sqref="D10"/>
    </sheetView>
  </sheetViews>
  <sheetFormatPr baseColWidth="10" defaultColWidth="11.5703125" defaultRowHeight="16.5" x14ac:dyDescent="0.3"/>
  <cols>
    <col min="1" max="1" width="37.140625" style="66" customWidth="1"/>
    <col min="2" max="2" width="20.85546875" style="66" customWidth="1"/>
    <col min="3" max="8" width="10.7109375" style="66" customWidth="1"/>
    <col min="9" max="9" width="14" style="66" customWidth="1"/>
    <col min="10" max="10" width="1.5703125" style="66" customWidth="1"/>
    <col min="11" max="16384" width="11.5703125" style="66"/>
  </cols>
  <sheetData>
    <row r="1" spans="1:16" ht="21" thickBot="1" x14ac:dyDescent="0.4">
      <c r="A1" s="507" t="s">
        <v>37</v>
      </c>
      <c r="B1" s="508"/>
      <c r="C1" s="508"/>
      <c r="D1" s="508"/>
      <c r="E1" s="508"/>
      <c r="F1" s="508"/>
      <c r="G1" s="508"/>
      <c r="H1" s="508"/>
      <c r="I1" s="508"/>
      <c r="J1" s="508"/>
      <c r="K1" s="508"/>
      <c r="L1" s="508"/>
      <c r="M1" s="508"/>
      <c r="N1" s="508"/>
      <c r="O1" s="508"/>
      <c r="P1" s="508"/>
    </row>
    <row r="2" spans="1:16" ht="17.25" thickBot="1" x14ac:dyDescent="0.35">
      <c r="A2" s="515" t="str">
        <f>"Les montants ci-dessous sont exprimés " &amp; '1-Informations-paramètres '!C10</f>
        <v>Les montants ci-dessous sont exprimés en milliers d'euros</v>
      </c>
      <c r="B2" s="515"/>
      <c r="C2" s="515"/>
      <c r="D2" s="515"/>
      <c r="E2" s="515"/>
      <c r="F2" s="515"/>
      <c r="G2" s="515"/>
      <c r="H2" s="515"/>
      <c r="I2" s="515"/>
    </row>
    <row r="3" spans="1:16" ht="25.15" customHeight="1" x14ac:dyDescent="0.3">
      <c r="A3" s="511" t="s">
        <v>38</v>
      </c>
      <c r="B3" s="512"/>
      <c r="C3" s="207">
        <f>+'2-Section de Fonctionnement'!H9</f>
        <v>4</v>
      </c>
      <c r="D3" s="207">
        <f>C3+1</f>
        <v>5</v>
      </c>
      <c r="E3" s="207">
        <f>D3+1</f>
        <v>6</v>
      </c>
      <c r="F3" s="207">
        <f>E3+1</f>
        <v>7</v>
      </c>
      <c r="G3" s="207">
        <f>F3+1</f>
        <v>8</v>
      </c>
      <c r="H3" s="413">
        <f>G3+1</f>
        <v>9</v>
      </c>
    </row>
    <row r="4" spans="1:16" x14ac:dyDescent="0.3">
      <c r="A4" s="513" t="s">
        <v>133</v>
      </c>
      <c r="B4" s="514"/>
      <c r="C4" s="98">
        <v>0</v>
      </c>
      <c r="D4" s="98">
        <v>0</v>
      </c>
      <c r="E4" s="98">
        <v>0</v>
      </c>
      <c r="F4" s="99">
        <v>0</v>
      </c>
      <c r="G4" s="99">
        <v>0</v>
      </c>
      <c r="H4" s="100">
        <v>0</v>
      </c>
    </row>
    <row r="5" spans="1:16" x14ac:dyDescent="0.3">
      <c r="A5" s="509" t="s">
        <v>124</v>
      </c>
      <c r="B5" s="510"/>
      <c r="C5" s="98"/>
      <c r="D5" s="98"/>
      <c r="E5" s="98"/>
      <c r="F5" s="99"/>
      <c r="G5" s="99"/>
      <c r="H5" s="100"/>
    </row>
    <row r="6" spans="1:16" x14ac:dyDescent="0.3">
      <c r="A6" s="509" t="s">
        <v>125</v>
      </c>
      <c r="B6" s="510"/>
      <c r="C6" s="98"/>
      <c r="D6" s="98"/>
      <c r="E6" s="98"/>
      <c r="F6" s="99"/>
      <c r="G6" s="99"/>
      <c r="H6" s="100"/>
    </row>
    <row r="7" spans="1:16" x14ac:dyDescent="0.3">
      <c r="A7" s="509" t="s">
        <v>126</v>
      </c>
      <c r="B7" s="510"/>
      <c r="C7" s="98"/>
      <c r="D7" s="98"/>
      <c r="E7" s="98"/>
      <c r="F7" s="99"/>
      <c r="G7" s="99"/>
      <c r="H7" s="100"/>
    </row>
    <row r="8" spans="1:16" x14ac:dyDescent="0.3">
      <c r="A8" s="509" t="s">
        <v>127</v>
      </c>
      <c r="B8" s="510"/>
      <c r="C8" s="98"/>
      <c r="D8" s="98"/>
      <c r="E8" s="98"/>
      <c r="F8" s="99"/>
      <c r="G8" s="99"/>
      <c r="H8" s="100"/>
    </row>
    <row r="9" spans="1:16" x14ac:dyDescent="0.3">
      <c r="A9" s="509" t="s">
        <v>128</v>
      </c>
      <c r="B9" s="510"/>
      <c r="C9" s="98"/>
      <c r="D9" s="98"/>
      <c r="E9" s="98"/>
      <c r="F9" s="99"/>
      <c r="G9" s="99"/>
      <c r="H9" s="100"/>
    </row>
    <row r="10" spans="1:16" x14ac:dyDescent="0.3">
      <c r="A10" s="509" t="s">
        <v>129</v>
      </c>
      <c r="B10" s="510"/>
      <c r="C10" s="98"/>
      <c r="D10" s="98"/>
      <c r="E10" s="98"/>
      <c r="F10" s="99"/>
      <c r="G10" s="99"/>
      <c r="H10" s="100"/>
    </row>
    <row r="11" spans="1:16" x14ac:dyDescent="0.3">
      <c r="A11" s="509" t="s">
        <v>134</v>
      </c>
      <c r="B11" s="510"/>
      <c r="C11" s="98"/>
      <c r="D11" s="98"/>
      <c r="E11" s="98"/>
      <c r="F11" s="99"/>
      <c r="G11" s="99"/>
      <c r="H11" s="100"/>
    </row>
    <row r="12" spans="1:16" x14ac:dyDescent="0.3">
      <c r="A12" s="509"/>
      <c r="B12" s="510"/>
      <c r="C12" s="98"/>
      <c r="D12" s="98"/>
      <c r="E12" s="98"/>
      <c r="F12" s="99"/>
      <c r="G12" s="99"/>
      <c r="H12" s="100"/>
    </row>
    <row r="13" spans="1:16" ht="17.25" thickBot="1" x14ac:dyDescent="0.35">
      <c r="A13" s="502"/>
      <c r="B13" s="503"/>
      <c r="C13" s="101"/>
      <c r="D13" s="101"/>
      <c r="E13" s="101"/>
      <c r="F13" s="102"/>
      <c r="G13" s="102"/>
      <c r="H13" s="103"/>
    </row>
    <row r="14" spans="1:16" ht="17.25" thickBot="1" x14ac:dyDescent="0.35">
      <c r="A14" s="86"/>
      <c r="I14" s="97"/>
      <c r="J14" s="97"/>
    </row>
    <row r="15" spans="1:16" ht="36" customHeight="1" thickBot="1" x14ac:dyDescent="0.35">
      <c r="A15" s="208" t="s">
        <v>123</v>
      </c>
      <c r="B15" s="209" t="s">
        <v>39</v>
      </c>
      <c r="C15" s="210">
        <f>C3</f>
        <v>4</v>
      </c>
      <c r="D15" s="211">
        <f>C15+1</f>
        <v>5</v>
      </c>
      <c r="E15" s="211">
        <f>D15+1</f>
        <v>6</v>
      </c>
      <c r="F15" s="211">
        <f t="shared" ref="F15:H15" si="0">E15+1</f>
        <v>7</v>
      </c>
      <c r="G15" s="211">
        <f t="shared" si="0"/>
        <v>8</v>
      </c>
      <c r="H15" s="212">
        <f t="shared" si="0"/>
        <v>9</v>
      </c>
      <c r="I15" s="213" t="s">
        <v>40</v>
      </c>
      <c r="J15" s="87"/>
      <c r="K15" s="308">
        <f>C15</f>
        <v>4</v>
      </c>
      <c r="L15" s="309">
        <f t="shared" ref="L15:P15" si="1">D15</f>
        <v>5</v>
      </c>
      <c r="M15" s="309">
        <f t="shared" si="1"/>
        <v>6</v>
      </c>
      <c r="N15" s="309">
        <f t="shared" si="1"/>
        <v>7</v>
      </c>
      <c r="O15" s="309">
        <f t="shared" si="1"/>
        <v>8</v>
      </c>
      <c r="P15" s="310">
        <f t="shared" si="1"/>
        <v>9</v>
      </c>
    </row>
    <row r="16" spans="1:16" ht="19.5" customHeight="1" x14ac:dyDescent="0.3">
      <c r="A16" s="504" t="str">
        <f>"VARIATION DES DEPENSES (ajout ou diminution) " &amp; '1-Informations-paramètres '!C10</f>
        <v>VARIATION DES DEPENSES (ajout ou diminution) en milliers d'euros</v>
      </c>
      <c r="B16" s="505"/>
      <c r="C16" s="505"/>
      <c r="D16" s="505"/>
      <c r="E16" s="505"/>
      <c r="F16" s="505"/>
      <c r="G16" s="505"/>
      <c r="H16" s="506"/>
      <c r="I16" s="403">
        <f>SUM(I17:I26)</f>
        <v>0</v>
      </c>
      <c r="J16" s="87"/>
      <c r="K16" s="499" t="s">
        <v>99</v>
      </c>
      <c r="L16" s="500"/>
      <c r="M16" s="500"/>
      <c r="N16" s="500"/>
      <c r="O16" s="500"/>
      <c r="P16" s="501"/>
    </row>
    <row r="17" spans="1:16" ht="16.899999999999999" customHeight="1" x14ac:dyDescent="0.3">
      <c r="A17" s="357"/>
      <c r="B17" s="362"/>
      <c r="C17" s="238"/>
      <c r="D17" s="239"/>
      <c r="E17" s="239"/>
      <c r="F17" s="239"/>
      <c r="G17" s="239"/>
      <c r="H17" s="240"/>
      <c r="I17" s="402">
        <f>SUM(C17:H17)</f>
        <v>0</v>
      </c>
      <c r="J17" s="242"/>
      <c r="K17" s="243">
        <f>C17</f>
        <v>0</v>
      </c>
      <c r="L17" s="244">
        <f>K17+D17</f>
        <v>0</v>
      </c>
      <c r="M17" s="244">
        <f t="shared" ref="M17:P17" si="2">L17+E17</f>
        <v>0</v>
      </c>
      <c r="N17" s="244">
        <f t="shared" si="2"/>
        <v>0</v>
      </c>
      <c r="O17" s="244">
        <f t="shared" si="2"/>
        <v>0</v>
      </c>
      <c r="P17" s="245">
        <f t="shared" si="2"/>
        <v>0</v>
      </c>
    </row>
    <row r="18" spans="1:16" ht="16.899999999999999" customHeight="1" x14ac:dyDescent="0.3">
      <c r="A18" s="356"/>
      <c r="B18" s="363"/>
      <c r="C18" s="64"/>
      <c r="D18" s="65"/>
      <c r="E18" s="65"/>
      <c r="F18" s="65"/>
      <c r="G18" s="65"/>
      <c r="H18" s="246"/>
      <c r="I18" s="241">
        <f t="shared" ref="I18:I26" si="3">SUM(C18:H18)</f>
        <v>0</v>
      </c>
      <c r="J18" s="242"/>
      <c r="K18" s="247">
        <f t="shared" ref="K18:K37" si="4">C18</f>
        <v>0</v>
      </c>
      <c r="L18" s="248">
        <f t="shared" ref="L18:L37" si="5">K18+D18</f>
        <v>0</v>
      </c>
      <c r="M18" s="248">
        <f t="shared" ref="M18:M37" si="6">L18+E18</f>
        <v>0</v>
      </c>
      <c r="N18" s="248">
        <f t="shared" ref="N18:N37" si="7">M18+F18</f>
        <v>0</v>
      </c>
      <c r="O18" s="248">
        <f t="shared" ref="O18:O37" si="8">N18+G18</f>
        <v>0</v>
      </c>
      <c r="P18" s="249">
        <f t="shared" ref="P18:P37" si="9">O18+H18</f>
        <v>0</v>
      </c>
    </row>
    <row r="19" spans="1:16" ht="16.899999999999999" customHeight="1" x14ac:dyDescent="0.3">
      <c r="A19" s="356"/>
      <c r="B19" s="363"/>
      <c r="C19" s="64"/>
      <c r="D19" s="65"/>
      <c r="E19" s="65"/>
      <c r="F19" s="65"/>
      <c r="G19" s="65"/>
      <c r="H19" s="246"/>
      <c r="I19" s="241">
        <f t="shared" si="3"/>
        <v>0</v>
      </c>
      <c r="J19" s="242"/>
      <c r="K19" s="247">
        <f t="shared" si="4"/>
        <v>0</v>
      </c>
      <c r="L19" s="248">
        <f t="shared" si="5"/>
        <v>0</v>
      </c>
      <c r="M19" s="248">
        <f t="shared" si="6"/>
        <v>0</v>
      </c>
      <c r="N19" s="248">
        <f t="shared" si="7"/>
        <v>0</v>
      </c>
      <c r="O19" s="248">
        <f t="shared" si="8"/>
        <v>0</v>
      </c>
      <c r="P19" s="249">
        <f t="shared" si="9"/>
        <v>0</v>
      </c>
    </row>
    <row r="20" spans="1:16" ht="16.899999999999999" customHeight="1" x14ac:dyDescent="0.3">
      <c r="A20" s="356"/>
      <c r="B20" s="363"/>
      <c r="C20" s="64"/>
      <c r="D20" s="65"/>
      <c r="E20" s="65"/>
      <c r="F20" s="65"/>
      <c r="G20" s="65"/>
      <c r="H20" s="246"/>
      <c r="I20" s="241">
        <f t="shared" si="3"/>
        <v>0</v>
      </c>
      <c r="J20" s="242"/>
      <c r="K20" s="247">
        <f t="shared" si="4"/>
        <v>0</v>
      </c>
      <c r="L20" s="248">
        <f t="shared" si="5"/>
        <v>0</v>
      </c>
      <c r="M20" s="248">
        <f t="shared" si="6"/>
        <v>0</v>
      </c>
      <c r="N20" s="248">
        <f t="shared" si="7"/>
        <v>0</v>
      </c>
      <c r="O20" s="248">
        <f t="shared" si="8"/>
        <v>0</v>
      </c>
      <c r="P20" s="249">
        <f t="shared" si="9"/>
        <v>0</v>
      </c>
    </row>
    <row r="21" spans="1:16" ht="16.899999999999999" customHeight="1" x14ac:dyDescent="0.3">
      <c r="A21" s="356"/>
      <c r="B21" s="364"/>
      <c r="C21" s="250"/>
      <c r="D21" s="65"/>
      <c r="E21" s="65"/>
      <c r="F21" s="65"/>
      <c r="G21" s="65"/>
      <c r="H21" s="246"/>
      <c r="I21" s="241">
        <f t="shared" si="3"/>
        <v>0</v>
      </c>
      <c r="J21" s="242"/>
      <c r="K21" s="247">
        <f t="shared" si="4"/>
        <v>0</v>
      </c>
      <c r="L21" s="248">
        <f t="shared" si="5"/>
        <v>0</v>
      </c>
      <c r="M21" s="248">
        <f t="shared" si="6"/>
        <v>0</v>
      </c>
      <c r="N21" s="248">
        <f t="shared" si="7"/>
        <v>0</v>
      </c>
      <c r="O21" s="248">
        <f t="shared" si="8"/>
        <v>0</v>
      </c>
      <c r="P21" s="249">
        <f t="shared" si="9"/>
        <v>0</v>
      </c>
    </row>
    <row r="22" spans="1:16" ht="16.899999999999999" customHeight="1" x14ac:dyDescent="0.3">
      <c r="A22" s="356"/>
      <c r="B22" s="363"/>
      <c r="C22" s="64"/>
      <c r="D22" s="65"/>
      <c r="E22" s="65"/>
      <c r="F22" s="65"/>
      <c r="G22" s="65"/>
      <c r="H22" s="246"/>
      <c r="I22" s="241">
        <f t="shared" si="3"/>
        <v>0</v>
      </c>
      <c r="J22" s="242"/>
      <c r="K22" s="247">
        <f t="shared" si="4"/>
        <v>0</v>
      </c>
      <c r="L22" s="248">
        <f t="shared" si="5"/>
        <v>0</v>
      </c>
      <c r="M22" s="248">
        <f t="shared" si="6"/>
        <v>0</v>
      </c>
      <c r="N22" s="248">
        <f t="shared" si="7"/>
        <v>0</v>
      </c>
      <c r="O22" s="248">
        <f t="shared" si="8"/>
        <v>0</v>
      </c>
      <c r="P22" s="249">
        <f t="shared" si="9"/>
        <v>0</v>
      </c>
    </row>
    <row r="23" spans="1:16" ht="16.899999999999999" customHeight="1" x14ac:dyDescent="0.3">
      <c r="A23" s="356"/>
      <c r="B23" s="363"/>
      <c r="C23" s="64"/>
      <c r="D23" s="65"/>
      <c r="E23" s="65"/>
      <c r="F23" s="65"/>
      <c r="G23" s="65"/>
      <c r="H23" s="246"/>
      <c r="I23" s="241">
        <f t="shared" si="3"/>
        <v>0</v>
      </c>
      <c r="J23" s="242"/>
      <c r="K23" s="247">
        <f t="shared" si="4"/>
        <v>0</v>
      </c>
      <c r="L23" s="248">
        <f t="shared" si="5"/>
        <v>0</v>
      </c>
      <c r="M23" s="248">
        <f t="shared" si="6"/>
        <v>0</v>
      </c>
      <c r="N23" s="248">
        <f t="shared" si="7"/>
        <v>0</v>
      </c>
      <c r="O23" s="248">
        <f t="shared" si="8"/>
        <v>0</v>
      </c>
      <c r="P23" s="249">
        <f t="shared" si="9"/>
        <v>0</v>
      </c>
    </row>
    <row r="24" spans="1:16" ht="16.899999999999999" customHeight="1" x14ac:dyDescent="0.3">
      <c r="A24" s="356"/>
      <c r="B24" s="363"/>
      <c r="C24" s="64"/>
      <c r="D24" s="65"/>
      <c r="E24" s="65"/>
      <c r="F24" s="65"/>
      <c r="G24" s="65"/>
      <c r="H24" s="246"/>
      <c r="I24" s="241">
        <f t="shared" si="3"/>
        <v>0</v>
      </c>
      <c r="J24" s="242"/>
      <c r="K24" s="247">
        <f t="shared" si="4"/>
        <v>0</v>
      </c>
      <c r="L24" s="248">
        <f t="shared" si="5"/>
        <v>0</v>
      </c>
      <c r="M24" s="248">
        <f t="shared" si="6"/>
        <v>0</v>
      </c>
      <c r="N24" s="248">
        <f t="shared" si="7"/>
        <v>0</v>
      </c>
      <c r="O24" s="248">
        <f t="shared" si="8"/>
        <v>0</v>
      </c>
      <c r="P24" s="249">
        <f t="shared" si="9"/>
        <v>0</v>
      </c>
    </row>
    <row r="25" spans="1:16" ht="16.899999999999999" customHeight="1" x14ac:dyDescent="0.3">
      <c r="A25" s="356"/>
      <c r="B25" s="363"/>
      <c r="C25" s="64"/>
      <c r="D25" s="65"/>
      <c r="E25" s="65"/>
      <c r="F25" s="65"/>
      <c r="G25" s="65"/>
      <c r="H25" s="246"/>
      <c r="I25" s="241">
        <f t="shared" si="3"/>
        <v>0</v>
      </c>
      <c r="J25" s="242"/>
      <c r="K25" s="247">
        <f t="shared" si="4"/>
        <v>0</v>
      </c>
      <c r="L25" s="248">
        <f t="shared" si="5"/>
        <v>0</v>
      </c>
      <c r="M25" s="248">
        <f t="shared" si="6"/>
        <v>0</v>
      </c>
      <c r="N25" s="248">
        <f t="shared" si="7"/>
        <v>0</v>
      </c>
      <c r="O25" s="248">
        <f t="shared" si="8"/>
        <v>0</v>
      </c>
      <c r="P25" s="249">
        <f t="shared" si="9"/>
        <v>0</v>
      </c>
    </row>
    <row r="26" spans="1:16" ht="17.45" customHeight="1" thickBot="1" x14ac:dyDescent="0.35">
      <c r="A26" s="358"/>
      <c r="B26" s="365"/>
      <c r="C26" s="251"/>
      <c r="D26" s="252"/>
      <c r="E26" s="252"/>
      <c r="F26" s="252"/>
      <c r="G26" s="252"/>
      <c r="H26" s="253"/>
      <c r="I26" s="254">
        <f t="shared" si="3"/>
        <v>0</v>
      </c>
      <c r="J26" s="242"/>
      <c r="K26" s="247">
        <f t="shared" si="4"/>
        <v>0</v>
      </c>
      <c r="L26" s="248">
        <f t="shared" si="5"/>
        <v>0</v>
      </c>
      <c r="M26" s="248">
        <f t="shared" si="6"/>
        <v>0</v>
      </c>
      <c r="N26" s="248">
        <f t="shared" si="7"/>
        <v>0</v>
      </c>
      <c r="O26" s="248">
        <f t="shared" si="8"/>
        <v>0</v>
      </c>
      <c r="P26" s="249">
        <f t="shared" si="9"/>
        <v>0</v>
      </c>
    </row>
    <row r="27" spans="1:16" ht="22.15" customHeight="1" x14ac:dyDescent="0.3">
      <c r="A27" s="496" t="str">
        <f>"VARIATION DES RECETTES (ajout ou diminution) " &amp; '1-Informations-paramètres '!C10</f>
        <v>VARIATION DES RECETTES (ajout ou diminution) en milliers d'euros</v>
      </c>
      <c r="B27" s="497"/>
      <c r="C27" s="497"/>
      <c r="D27" s="497"/>
      <c r="E27" s="497"/>
      <c r="F27" s="497"/>
      <c r="G27" s="497"/>
      <c r="H27" s="498"/>
      <c r="I27" s="158">
        <f>SUM(I28:I37)</f>
        <v>0</v>
      </c>
      <c r="J27" s="87"/>
      <c r="K27" s="496" t="s">
        <v>100</v>
      </c>
      <c r="L27" s="497"/>
      <c r="M27" s="497"/>
      <c r="N27" s="497"/>
      <c r="O27" s="497"/>
      <c r="P27" s="498"/>
    </row>
    <row r="28" spans="1:16" ht="16.899999999999999" customHeight="1" x14ac:dyDescent="0.3">
      <c r="A28" s="425"/>
      <c r="B28" s="430"/>
      <c r="C28" s="238"/>
      <c r="D28" s="239"/>
      <c r="E28" s="239"/>
      <c r="F28" s="239"/>
      <c r="G28" s="239"/>
      <c r="H28" s="240"/>
      <c r="I28" s="255">
        <f t="shared" ref="I28:I34" si="10">SUM(C28:H28)</f>
        <v>0</v>
      </c>
      <c r="J28" s="242"/>
      <c r="K28" s="247">
        <f t="shared" ref="K28:K34" si="11">C28</f>
        <v>0</v>
      </c>
      <c r="L28" s="248">
        <f t="shared" ref="L28:P34" si="12">K28+D28</f>
        <v>0</v>
      </c>
      <c r="M28" s="248">
        <f t="shared" si="12"/>
        <v>0</v>
      </c>
      <c r="N28" s="248">
        <f t="shared" si="12"/>
        <v>0</v>
      </c>
      <c r="O28" s="248">
        <f t="shared" si="12"/>
        <v>0</v>
      </c>
      <c r="P28" s="249">
        <f t="shared" si="12"/>
        <v>0</v>
      </c>
    </row>
    <row r="29" spans="1:16" ht="16.899999999999999" customHeight="1" x14ac:dyDescent="0.3">
      <c r="A29" s="356"/>
      <c r="B29" s="431"/>
      <c r="C29" s="64"/>
      <c r="D29" s="65"/>
      <c r="E29" s="65"/>
      <c r="F29" s="65"/>
      <c r="G29" s="65"/>
      <c r="H29" s="246"/>
      <c r="I29" s="255">
        <f t="shared" si="10"/>
        <v>0</v>
      </c>
      <c r="J29" s="242"/>
      <c r="K29" s="247">
        <f t="shared" si="11"/>
        <v>0</v>
      </c>
      <c r="L29" s="248">
        <f t="shared" si="12"/>
        <v>0</v>
      </c>
      <c r="M29" s="248">
        <f t="shared" si="12"/>
        <v>0</v>
      </c>
      <c r="N29" s="248">
        <f t="shared" si="12"/>
        <v>0</v>
      </c>
      <c r="O29" s="248">
        <f t="shared" si="12"/>
        <v>0</v>
      </c>
      <c r="P29" s="249">
        <f t="shared" si="12"/>
        <v>0</v>
      </c>
    </row>
    <row r="30" spans="1:16" x14ac:dyDescent="0.3">
      <c r="A30" s="356"/>
      <c r="B30" s="431"/>
      <c r="C30" s="64"/>
      <c r="D30" s="65"/>
      <c r="E30" s="65"/>
      <c r="F30" s="65"/>
      <c r="G30" s="65"/>
      <c r="H30" s="246"/>
      <c r="I30" s="255">
        <f t="shared" si="10"/>
        <v>0</v>
      </c>
      <c r="J30" s="256"/>
      <c r="K30" s="247">
        <f t="shared" si="11"/>
        <v>0</v>
      </c>
      <c r="L30" s="248">
        <f t="shared" si="12"/>
        <v>0</v>
      </c>
      <c r="M30" s="248">
        <f t="shared" si="12"/>
        <v>0</v>
      </c>
      <c r="N30" s="248">
        <f t="shared" si="12"/>
        <v>0</v>
      </c>
      <c r="O30" s="248">
        <f t="shared" si="12"/>
        <v>0</v>
      </c>
      <c r="P30" s="249">
        <f t="shared" si="12"/>
        <v>0</v>
      </c>
    </row>
    <row r="31" spans="1:16" x14ac:dyDescent="0.3">
      <c r="A31" s="356"/>
      <c r="B31" s="431"/>
      <c r="C31" s="64"/>
      <c r="D31" s="65"/>
      <c r="E31" s="65"/>
      <c r="F31" s="65"/>
      <c r="G31" s="65"/>
      <c r="H31" s="246"/>
      <c r="I31" s="255">
        <f t="shared" si="10"/>
        <v>0</v>
      </c>
      <c r="J31" s="256"/>
      <c r="K31" s="247">
        <f t="shared" si="11"/>
        <v>0</v>
      </c>
      <c r="L31" s="248">
        <f t="shared" si="12"/>
        <v>0</v>
      </c>
      <c r="M31" s="248">
        <f t="shared" si="12"/>
        <v>0</v>
      </c>
      <c r="N31" s="248">
        <f t="shared" si="12"/>
        <v>0</v>
      </c>
      <c r="O31" s="248">
        <f t="shared" si="12"/>
        <v>0</v>
      </c>
      <c r="P31" s="249">
        <f t="shared" si="12"/>
        <v>0</v>
      </c>
    </row>
    <row r="32" spans="1:16" x14ac:dyDescent="0.3">
      <c r="A32" s="356"/>
      <c r="B32" s="431"/>
      <c r="C32" s="64"/>
      <c r="D32" s="65"/>
      <c r="E32" s="65"/>
      <c r="F32" s="65"/>
      <c r="G32" s="65"/>
      <c r="H32" s="246"/>
      <c r="I32" s="255">
        <f t="shared" si="10"/>
        <v>0</v>
      </c>
      <c r="J32" s="256"/>
      <c r="K32" s="247">
        <f t="shared" si="11"/>
        <v>0</v>
      </c>
      <c r="L32" s="248">
        <f t="shared" si="12"/>
        <v>0</v>
      </c>
      <c r="M32" s="248">
        <f t="shared" si="12"/>
        <v>0</v>
      </c>
      <c r="N32" s="248">
        <f t="shared" si="12"/>
        <v>0</v>
      </c>
      <c r="O32" s="248">
        <f t="shared" si="12"/>
        <v>0</v>
      </c>
      <c r="P32" s="249">
        <f t="shared" si="12"/>
        <v>0</v>
      </c>
    </row>
    <row r="33" spans="1:16" x14ac:dyDescent="0.3">
      <c r="A33" s="356"/>
      <c r="B33" s="431"/>
      <c r="C33" s="64"/>
      <c r="D33" s="65"/>
      <c r="E33" s="65"/>
      <c r="F33" s="65"/>
      <c r="G33" s="65"/>
      <c r="H33" s="246"/>
      <c r="I33" s="255">
        <f t="shared" si="10"/>
        <v>0</v>
      </c>
      <c r="J33" s="256"/>
      <c r="K33" s="247">
        <f t="shared" si="11"/>
        <v>0</v>
      </c>
      <c r="L33" s="248">
        <f t="shared" si="12"/>
        <v>0</v>
      </c>
      <c r="M33" s="248">
        <f t="shared" si="12"/>
        <v>0</v>
      </c>
      <c r="N33" s="248">
        <f t="shared" si="12"/>
        <v>0</v>
      </c>
      <c r="O33" s="248">
        <f t="shared" si="12"/>
        <v>0</v>
      </c>
      <c r="P33" s="249">
        <f t="shared" si="12"/>
        <v>0</v>
      </c>
    </row>
    <row r="34" spans="1:16" x14ac:dyDescent="0.3">
      <c r="A34" s="356"/>
      <c r="B34" s="431"/>
      <c r="C34" s="64"/>
      <c r="D34" s="65"/>
      <c r="E34" s="65"/>
      <c r="F34" s="65"/>
      <c r="G34" s="65"/>
      <c r="H34" s="246"/>
      <c r="I34" s="255">
        <f t="shared" si="10"/>
        <v>0</v>
      </c>
      <c r="J34" s="256"/>
      <c r="K34" s="247">
        <f t="shared" si="11"/>
        <v>0</v>
      </c>
      <c r="L34" s="248">
        <f t="shared" si="12"/>
        <v>0</v>
      </c>
      <c r="M34" s="248">
        <f t="shared" si="12"/>
        <v>0</v>
      </c>
      <c r="N34" s="248">
        <f t="shared" si="12"/>
        <v>0</v>
      </c>
      <c r="O34" s="248">
        <f t="shared" si="12"/>
        <v>0</v>
      </c>
      <c r="P34" s="249">
        <f t="shared" si="12"/>
        <v>0</v>
      </c>
    </row>
    <row r="35" spans="1:16" x14ac:dyDescent="0.3">
      <c r="A35" s="356"/>
      <c r="B35" s="431"/>
      <c r="C35" s="64"/>
      <c r="D35" s="65"/>
      <c r="E35" s="65"/>
      <c r="F35" s="65"/>
      <c r="G35" s="65"/>
      <c r="H35" s="246"/>
      <c r="I35" s="255">
        <f t="shared" ref="I35:I37" si="13">SUM(C35:H35)</f>
        <v>0</v>
      </c>
      <c r="J35" s="256"/>
      <c r="K35" s="247">
        <f t="shared" si="4"/>
        <v>0</v>
      </c>
      <c r="L35" s="248">
        <f t="shared" si="5"/>
        <v>0</v>
      </c>
      <c r="M35" s="248">
        <f t="shared" si="6"/>
        <v>0</v>
      </c>
      <c r="N35" s="248">
        <f t="shared" si="7"/>
        <v>0</v>
      </c>
      <c r="O35" s="248">
        <f t="shared" si="8"/>
        <v>0</v>
      </c>
      <c r="P35" s="249">
        <f t="shared" si="9"/>
        <v>0</v>
      </c>
    </row>
    <row r="36" spans="1:16" x14ac:dyDescent="0.3">
      <c r="A36" s="356"/>
      <c r="B36" s="431"/>
      <c r="C36" s="64"/>
      <c r="D36" s="65"/>
      <c r="E36" s="65"/>
      <c r="F36" s="65"/>
      <c r="G36" s="65"/>
      <c r="H36" s="246"/>
      <c r="I36" s="255">
        <f t="shared" si="13"/>
        <v>0</v>
      </c>
      <c r="J36" s="256"/>
      <c r="K36" s="247">
        <f t="shared" si="4"/>
        <v>0</v>
      </c>
      <c r="L36" s="248">
        <f t="shared" si="5"/>
        <v>0</v>
      </c>
      <c r="M36" s="248">
        <f t="shared" si="6"/>
        <v>0</v>
      </c>
      <c r="N36" s="248">
        <f t="shared" si="7"/>
        <v>0</v>
      </c>
      <c r="O36" s="248">
        <f t="shared" si="8"/>
        <v>0</v>
      </c>
      <c r="P36" s="249">
        <f t="shared" si="9"/>
        <v>0</v>
      </c>
    </row>
    <row r="37" spans="1:16" ht="17.25" thickBot="1" x14ac:dyDescent="0.35">
      <c r="A37" s="426"/>
      <c r="B37" s="432"/>
      <c r="C37" s="427"/>
      <c r="D37" s="428"/>
      <c r="E37" s="428"/>
      <c r="F37" s="428"/>
      <c r="G37" s="428"/>
      <c r="H37" s="429"/>
      <c r="I37" s="257">
        <f t="shared" si="13"/>
        <v>0</v>
      </c>
      <c r="J37" s="256"/>
      <c r="K37" s="258">
        <f t="shared" si="4"/>
        <v>0</v>
      </c>
      <c r="L37" s="259">
        <f t="shared" si="5"/>
        <v>0</v>
      </c>
      <c r="M37" s="259">
        <f t="shared" si="6"/>
        <v>0</v>
      </c>
      <c r="N37" s="259">
        <f t="shared" si="7"/>
        <v>0</v>
      </c>
      <c r="O37" s="259">
        <f t="shared" si="8"/>
        <v>0</v>
      </c>
      <c r="P37" s="260">
        <f t="shared" si="9"/>
        <v>0</v>
      </c>
    </row>
  </sheetData>
  <sheetProtection algorithmName="SHA-512" hashValue="njDFRG2YPhsNfvOvSRWEXqXY2sUnXxpBHF67d5DprLCj7Kzpj1vMCes06ELjq1Nq8GuhgKNJq/9m3eWddu+idA==" saltValue="O08gDC08H0Nal7HuAS5rfA==" spinCount="100000" sheet="1" objects="1" scenarios="1" formatRows="0"/>
  <mergeCells count="17">
    <mergeCell ref="A1:P1"/>
    <mergeCell ref="A12:B12"/>
    <mergeCell ref="A7:B7"/>
    <mergeCell ref="A8:B8"/>
    <mergeCell ref="A9:B9"/>
    <mergeCell ref="A10:B10"/>
    <mergeCell ref="A11:B11"/>
    <mergeCell ref="A3:B3"/>
    <mergeCell ref="A4:B4"/>
    <mergeCell ref="A5:B5"/>
    <mergeCell ref="A6:B6"/>
    <mergeCell ref="A2:I2"/>
    <mergeCell ref="K27:P27"/>
    <mergeCell ref="K16:P16"/>
    <mergeCell ref="A13:B13"/>
    <mergeCell ref="A16:H16"/>
    <mergeCell ref="A27:H27"/>
  </mergeCells>
  <pageMargins left="0.25" right="0.25" top="0.75" bottom="0.75" header="0.3" footer="0.3"/>
  <pageSetup paperSize="9" scale="68"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errorTitle="Attention" error="Vous devez choisir une entrée parmis la liste déroulante (en cliquant sur la flêche à droite de la cellule)._x000a_Cette liste peut être modifiée dans dans l'onglet &quot;1-Informations et paramétrages&quot;." xr:uid="{B2897853-E58E-4A04-AA94-DC46DD2F6106}">
          <x14:formula1>
            <xm:f>'1-Informations-paramètres '!$D$20:$D$34</xm:f>
          </x14:formula1>
          <xm:sqref>B28:B37</xm:sqref>
        </x14:dataValidation>
        <x14:dataValidation type="list" allowBlank="1" showErrorMessage="1" errorTitle="Saisie non conforme" error="Vous devez choisir une entrée parmis la liste déroulante (en cliquant sur la flêche à droite de la cellule)._x000a_Cette liste peut être modifiée dans dans l'onglet &quot;1-Informations et paramétrages&quot;." xr:uid="{AE32EA71-68BD-4E34-B73C-22AD0ED1759E}">
          <x14:formula1>
            <xm:f>'1-Informations-paramètres '!$D$52:$D$65</xm:f>
          </x14:formula1>
          <xm:sqref>B17:B26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4E33-C78B-455C-B7DD-8B660754E19F}">
  <sheetPr codeName="Feuil4">
    <pageSetUpPr fitToPage="1"/>
  </sheetPr>
  <dimension ref="A1:P61"/>
  <sheetViews>
    <sheetView topLeftCell="A22" zoomScale="80" zoomScaleNormal="80" workbookViewId="0">
      <selection activeCell="C35" sqref="C35"/>
    </sheetView>
  </sheetViews>
  <sheetFormatPr baseColWidth="10" defaultColWidth="11.5703125" defaultRowHeight="14.25" x14ac:dyDescent="0.25"/>
  <cols>
    <col min="1" max="1" width="54" style="39" customWidth="1"/>
    <col min="2" max="5" width="11.5703125" style="39" customWidth="1"/>
    <col min="6" max="6" width="8.42578125" style="39" customWidth="1"/>
    <col min="7" max="12" width="11.5703125" style="39"/>
    <col min="13" max="13" width="2.7109375" style="39" customWidth="1"/>
    <col min="14" max="14" width="10.85546875" style="39" customWidth="1"/>
    <col min="15" max="15" width="1.42578125" style="39" customWidth="1"/>
    <col min="16" max="16" width="10.7109375" style="39" customWidth="1"/>
    <col min="17" max="16384" width="11.5703125" style="39"/>
  </cols>
  <sheetData>
    <row r="1" spans="1:16" ht="21" thickBot="1" x14ac:dyDescent="0.4">
      <c r="A1" s="507" t="s">
        <v>13</v>
      </c>
      <c r="B1" s="508"/>
      <c r="C1" s="508"/>
      <c r="D1" s="508"/>
      <c r="E1" s="508"/>
      <c r="F1" s="508"/>
      <c r="G1" s="508"/>
      <c r="H1" s="508"/>
      <c r="I1" s="508"/>
      <c r="J1" s="508"/>
      <c r="K1" s="508"/>
      <c r="L1" s="508"/>
      <c r="M1" s="508"/>
      <c r="N1" s="508"/>
      <c r="O1" s="508"/>
      <c r="P1" s="508"/>
    </row>
    <row r="2" spans="1:16" ht="15" thickBot="1" x14ac:dyDescent="0.3">
      <c r="A2" s="528" t="str">
        <f>"Les montants ci-dessous sont exprimés " &amp; '1-Informations-paramètres '!C10</f>
        <v>Les montants ci-dessous sont exprimés en milliers d'euros</v>
      </c>
      <c r="B2" s="528"/>
      <c r="C2" s="528"/>
      <c r="D2" s="528"/>
      <c r="E2" s="528"/>
      <c r="F2" s="528"/>
      <c r="G2" s="528"/>
      <c r="H2" s="528"/>
      <c r="I2" s="528"/>
      <c r="J2" s="528"/>
      <c r="K2" s="528"/>
      <c r="L2" s="528"/>
      <c r="M2" s="528"/>
    </row>
    <row r="3" spans="1:16" ht="16.5" x14ac:dyDescent="0.3">
      <c r="A3" s="214" t="s">
        <v>41</v>
      </c>
      <c r="B3" s="215">
        <f>B14</f>
        <v>0</v>
      </c>
    </row>
    <row r="4" spans="1:16" x14ac:dyDescent="0.25">
      <c r="A4" s="111" t="s">
        <v>110</v>
      </c>
      <c r="B4" s="109"/>
      <c r="C4" s="390" t="s">
        <v>118</v>
      </c>
      <c r="D4" s="67"/>
    </row>
    <row r="5" spans="1:16" ht="15" thickBot="1" x14ac:dyDescent="0.3">
      <c r="A5" s="112" t="s">
        <v>111</v>
      </c>
      <c r="B5" s="110"/>
      <c r="C5" s="390" t="s">
        <v>119</v>
      </c>
      <c r="D5" s="67"/>
    </row>
    <row r="6" spans="1:16" ht="19.149999999999999" customHeight="1" thickBot="1" x14ac:dyDescent="0.3"/>
    <row r="7" spans="1:16" ht="16.5" x14ac:dyDescent="0.3">
      <c r="A7" s="228" t="s">
        <v>98</v>
      </c>
      <c r="B7" s="216">
        <f>B3</f>
        <v>0</v>
      </c>
      <c r="C7" s="216">
        <f>B7+1</f>
        <v>1</v>
      </c>
      <c r="D7" s="216">
        <f>C7+1</f>
        <v>2</v>
      </c>
      <c r="E7" s="217">
        <f>D7+1</f>
        <v>3</v>
      </c>
    </row>
    <row r="8" spans="1:16" x14ac:dyDescent="0.25">
      <c r="A8" s="113" t="s">
        <v>42</v>
      </c>
      <c r="B8" s="117"/>
      <c r="C8" s="117"/>
      <c r="D8" s="117"/>
      <c r="E8" s="118"/>
      <c r="J8" s="41"/>
    </row>
    <row r="9" spans="1:16" x14ac:dyDescent="0.25">
      <c r="A9" s="113" t="s">
        <v>106</v>
      </c>
      <c r="B9" s="117"/>
      <c r="C9" s="117"/>
      <c r="D9" s="117"/>
      <c r="E9" s="118"/>
      <c r="F9" s="67"/>
      <c r="H9" s="67"/>
    </row>
    <row r="10" spans="1:16" ht="17.25" thickBot="1" x14ac:dyDescent="0.35">
      <c r="A10" s="114" t="s">
        <v>43</v>
      </c>
      <c r="B10" s="115">
        <f>B8-B9</f>
        <v>0</v>
      </c>
      <c r="C10" s="115">
        <f>C8-C9</f>
        <v>0</v>
      </c>
      <c r="D10" s="115">
        <f>D8-D9</f>
        <v>0</v>
      </c>
      <c r="E10" s="116">
        <f>E8-E9</f>
        <v>0</v>
      </c>
      <c r="F10" s="67"/>
      <c r="H10" s="67"/>
    </row>
    <row r="11" spans="1:16" ht="15" thickBot="1" x14ac:dyDescent="0.3">
      <c r="B11" s="67"/>
      <c r="N11" s="41"/>
    </row>
    <row r="12" spans="1:16" ht="16.5" customHeight="1" thickBot="1" x14ac:dyDescent="0.3">
      <c r="B12" s="484" t="s">
        <v>25</v>
      </c>
      <c r="C12" s="485"/>
      <c r="D12" s="485"/>
      <c r="E12" s="486"/>
      <c r="G12" s="487" t="s">
        <v>26</v>
      </c>
      <c r="H12" s="488"/>
      <c r="I12" s="488"/>
      <c r="J12" s="488"/>
      <c r="K12" s="488"/>
      <c r="L12" s="489"/>
    </row>
    <row r="13" spans="1:16" ht="3" hidden="1" customHeight="1" thickBot="1" x14ac:dyDescent="0.3"/>
    <row r="14" spans="1:16" ht="32.25" customHeight="1" x14ac:dyDescent="0.25">
      <c r="A14" s="189" t="s">
        <v>44</v>
      </c>
      <c r="B14" s="192">
        <f>'2-Section de Fonctionnement'!C28</f>
        <v>0</v>
      </c>
      <c r="C14" s="192">
        <f t="shared" ref="C14:J14" si="0">B14+1</f>
        <v>1</v>
      </c>
      <c r="D14" s="192">
        <f t="shared" si="0"/>
        <v>2</v>
      </c>
      <c r="E14" s="190">
        <f t="shared" si="0"/>
        <v>3</v>
      </c>
      <c r="F14" s="529" t="s">
        <v>45</v>
      </c>
      <c r="G14" s="198">
        <f>E14+1</f>
        <v>4</v>
      </c>
      <c r="H14" s="191">
        <f t="shared" si="0"/>
        <v>5</v>
      </c>
      <c r="I14" s="192">
        <f t="shared" si="0"/>
        <v>6</v>
      </c>
      <c r="J14" s="192">
        <f t="shared" si="0"/>
        <v>7</v>
      </c>
      <c r="K14" s="192">
        <f>J14+1</f>
        <v>8</v>
      </c>
      <c r="L14" s="193">
        <f>K14+1</f>
        <v>9</v>
      </c>
    </row>
    <row r="15" spans="1:16" ht="16.5" x14ac:dyDescent="0.3">
      <c r="A15" s="92" t="s">
        <v>46</v>
      </c>
      <c r="B15" s="76"/>
      <c r="C15" s="76"/>
      <c r="D15" s="76"/>
      <c r="E15" s="77"/>
      <c r="F15" s="530"/>
      <c r="G15" s="367">
        <f t="shared" ref="G15:L15" si="1">SUM(G16:G25)</f>
        <v>0</v>
      </c>
      <c r="H15" s="368">
        <f t="shared" si="1"/>
        <v>0</v>
      </c>
      <c r="I15" s="368">
        <f t="shared" si="1"/>
        <v>0</v>
      </c>
      <c r="J15" s="368">
        <f t="shared" si="1"/>
        <v>0</v>
      </c>
      <c r="K15" s="368">
        <f t="shared" si="1"/>
        <v>0</v>
      </c>
      <c r="L15" s="369">
        <f t="shared" si="1"/>
        <v>0</v>
      </c>
    </row>
    <row r="16" spans="1:16" x14ac:dyDescent="0.25">
      <c r="A16" s="405" t="s">
        <v>14</v>
      </c>
      <c r="B16" s="65"/>
      <c r="C16" s="65"/>
      <c r="D16" s="65"/>
      <c r="E16" s="78"/>
      <c r="F16" s="408" t="s">
        <v>31</v>
      </c>
      <c r="G16" s="56">
        <f>'5-Recours à la dette '!F49</f>
        <v>0</v>
      </c>
      <c r="H16" s="57">
        <f>'5-Recours à la dette '!G49</f>
        <v>0</v>
      </c>
      <c r="I16" s="57">
        <f>'5-Recours à la dette '!H49</f>
        <v>0</v>
      </c>
      <c r="J16" s="57">
        <f>'5-Recours à la dette '!I49</f>
        <v>0</v>
      </c>
      <c r="K16" s="57">
        <f>'5-Recours à la dette '!J49</f>
        <v>0</v>
      </c>
      <c r="L16" s="51">
        <f>'5-Recours à la dette '!K49</f>
        <v>0</v>
      </c>
    </row>
    <row r="17" spans="1:14" x14ac:dyDescent="0.25">
      <c r="A17" s="123"/>
      <c r="B17" s="65"/>
      <c r="C17" s="65"/>
      <c r="D17" s="65"/>
      <c r="E17" s="78"/>
      <c r="F17" s="370"/>
      <c r="G17" s="134"/>
      <c r="H17" s="132"/>
      <c r="I17" s="132"/>
      <c r="J17" s="132"/>
      <c r="K17" s="132"/>
      <c r="L17" s="133"/>
    </row>
    <row r="18" spans="1:14" x14ac:dyDescent="0.25">
      <c r="A18" s="123"/>
      <c r="B18" s="65"/>
      <c r="C18" s="65"/>
      <c r="D18" s="65"/>
      <c r="E18" s="78"/>
      <c r="F18" s="370"/>
      <c r="G18" s="134"/>
      <c r="H18" s="132"/>
      <c r="I18" s="132"/>
      <c r="J18" s="132"/>
      <c r="K18" s="132"/>
      <c r="L18" s="133"/>
    </row>
    <row r="19" spans="1:14" x14ac:dyDescent="0.25">
      <c r="A19" s="123"/>
      <c r="B19" s="65"/>
      <c r="C19" s="65"/>
      <c r="D19" s="65"/>
      <c r="E19" s="78"/>
      <c r="F19" s="370"/>
      <c r="G19" s="134"/>
      <c r="H19" s="132"/>
      <c r="I19" s="132"/>
      <c r="J19" s="132"/>
      <c r="K19" s="132"/>
      <c r="L19" s="133"/>
    </row>
    <row r="20" spans="1:14" x14ac:dyDescent="0.25">
      <c r="A20" s="123"/>
      <c r="B20" s="65"/>
      <c r="C20" s="65"/>
      <c r="D20" s="65"/>
      <c r="E20" s="78"/>
      <c r="F20" s="370"/>
      <c r="G20" s="134"/>
      <c r="H20" s="132"/>
      <c r="I20" s="132"/>
      <c r="J20" s="132"/>
      <c r="K20" s="132"/>
      <c r="L20" s="133"/>
      <c r="M20" s="41"/>
    </row>
    <row r="21" spans="1:14" x14ac:dyDescent="0.25">
      <c r="A21" s="123"/>
      <c r="B21" s="65"/>
      <c r="C21" s="65"/>
      <c r="D21" s="65"/>
      <c r="E21" s="78"/>
      <c r="F21" s="370"/>
      <c r="G21" s="134"/>
      <c r="H21" s="132"/>
      <c r="I21" s="132"/>
      <c r="J21" s="132"/>
      <c r="K21" s="132"/>
      <c r="L21" s="133"/>
    </row>
    <row r="22" spans="1:14" x14ac:dyDescent="0.25">
      <c r="A22" s="123"/>
      <c r="B22" s="65"/>
      <c r="C22" s="65"/>
      <c r="D22" s="65"/>
      <c r="E22" s="78"/>
      <c r="F22" s="370"/>
      <c r="G22" s="134"/>
      <c r="H22" s="132"/>
      <c r="I22" s="132"/>
      <c r="J22" s="132"/>
      <c r="K22" s="132"/>
      <c r="L22" s="133"/>
      <c r="N22" s="41"/>
    </row>
    <row r="23" spans="1:14" x14ac:dyDescent="0.25">
      <c r="A23" s="123"/>
      <c r="B23" s="65"/>
      <c r="C23" s="65"/>
      <c r="D23" s="65"/>
      <c r="E23" s="78"/>
      <c r="F23" s="370"/>
      <c r="G23" s="134"/>
      <c r="H23" s="132"/>
      <c r="I23" s="132"/>
      <c r="J23" s="132"/>
      <c r="K23" s="132"/>
      <c r="L23" s="133"/>
    </row>
    <row r="24" spans="1:14" x14ac:dyDescent="0.25">
      <c r="A24" s="123"/>
      <c r="B24" s="65"/>
      <c r="C24" s="65"/>
      <c r="D24" s="65"/>
      <c r="E24" s="78"/>
      <c r="F24" s="370"/>
      <c r="G24" s="134"/>
      <c r="H24" s="132"/>
      <c r="I24" s="132"/>
      <c r="J24" s="132"/>
      <c r="K24" s="132"/>
      <c r="L24" s="133"/>
    </row>
    <row r="25" spans="1:14" ht="15" thickBot="1" x14ac:dyDescent="0.3">
      <c r="A25" s="366" t="s">
        <v>47</v>
      </c>
      <c r="B25" s="159">
        <f>B15-SUM(B16:B24)</f>
        <v>0</v>
      </c>
      <c r="C25" s="159">
        <f>C15-SUM(C16:C24)</f>
        <v>0</v>
      </c>
      <c r="D25" s="159">
        <f>D15-SUM(D16:D24)</f>
        <v>0</v>
      </c>
      <c r="E25" s="160">
        <f>E15-SUM(E16:E24)</f>
        <v>0</v>
      </c>
      <c r="F25" s="371" t="s">
        <v>30</v>
      </c>
      <c r="G25" s="161"/>
      <c r="H25" s="162"/>
      <c r="I25" s="162"/>
      <c r="J25" s="162"/>
      <c r="K25" s="162"/>
      <c r="L25" s="163"/>
    </row>
    <row r="26" spans="1:14" ht="6" hidden="1" customHeight="1" x14ac:dyDescent="0.3">
      <c r="A26" s="527"/>
      <c r="B26" s="527"/>
      <c r="C26" s="527"/>
      <c r="D26" s="527"/>
      <c r="E26" s="527"/>
      <c r="F26" s="527"/>
      <c r="G26" s="527"/>
      <c r="H26" s="527"/>
      <c r="I26" s="527"/>
      <c r="J26" s="527"/>
      <c r="K26" s="527"/>
      <c r="M26" s="41">
        <f>SUM(G17:K17)</f>
        <v>0</v>
      </c>
      <c r="N26" s="39">
        <f>SUM(N15:N18)</f>
        <v>0</v>
      </c>
    </row>
    <row r="27" spans="1:14" ht="17.25" thickBot="1" x14ac:dyDescent="0.35">
      <c r="A27" s="79"/>
      <c r="B27" s="79"/>
      <c r="C27" s="79"/>
      <c r="D27" s="79"/>
      <c r="E27" s="79"/>
      <c r="F27" s="79"/>
      <c r="G27" s="79"/>
      <c r="H27" s="79"/>
      <c r="I27" s="79"/>
      <c r="J27" s="79"/>
      <c r="K27" s="79"/>
      <c r="M27" s="41"/>
    </row>
    <row r="28" spans="1:14" ht="28.9" customHeight="1" x14ac:dyDescent="0.25">
      <c r="A28" s="196" t="s">
        <v>48</v>
      </c>
      <c r="B28" s="194">
        <f>B7</f>
        <v>0</v>
      </c>
      <c r="C28" s="194">
        <f t="shared" ref="C28:J28" si="2">B28+1</f>
        <v>1</v>
      </c>
      <c r="D28" s="194">
        <f t="shared" si="2"/>
        <v>2</v>
      </c>
      <c r="E28" s="199">
        <f t="shared" si="2"/>
        <v>3</v>
      </c>
      <c r="F28" s="200"/>
      <c r="G28" s="200">
        <f>E28+1</f>
        <v>4</v>
      </c>
      <c r="H28" s="197">
        <f t="shared" si="2"/>
        <v>5</v>
      </c>
      <c r="I28" s="194">
        <f t="shared" si="2"/>
        <v>6</v>
      </c>
      <c r="J28" s="194">
        <f t="shared" si="2"/>
        <v>7</v>
      </c>
      <c r="K28" s="194">
        <f>J28+1</f>
        <v>8</v>
      </c>
      <c r="L28" s="195">
        <f>K28+1</f>
        <v>9</v>
      </c>
    </row>
    <row r="29" spans="1:14" ht="16.5" x14ac:dyDescent="0.3">
      <c r="A29" s="71" t="s">
        <v>42</v>
      </c>
      <c r="B29" s="85">
        <f>B10</f>
        <v>0</v>
      </c>
      <c r="C29" s="85">
        <f t="shared" ref="C29:E29" si="3">C10</f>
        <v>0</v>
      </c>
      <c r="D29" s="85">
        <f t="shared" si="3"/>
        <v>0</v>
      </c>
      <c r="E29" s="85">
        <f t="shared" si="3"/>
        <v>0</v>
      </c>
      <c r="G29" s="80">
        <f t="shared" ref="G29:L29" si="4">SUM(G30:G39)</f>
        <v>0</v>
      </c>
      <c r="H29" s="68">
        <f t="shared" si="4"/>
        <v>0</v>
      </c>
      <c r="I29" s="69">
        <f t="shared" si="4"/>
        <v>0</v>
      </c>
      <c r="J29" s="69">
        <f t="shared" si="4"/>
        <v>0</v>
      </c>
      <c r="K29" s="69">
        <f t="shared" si="4"/>
        <v>0</v>
      </c>
      <c r="L29" s="70">
        <f t="shared" si="4"/>
        <v>0</v>
      </c>
      <c r="M29" s="41"/>
    </row>
    <row r="30" spans="1:14" ht="15" customHeight="1" x14ac:dyDescent="0.25">
      <c r="A30" s="404" t="s">
        <v>15</v>
      </c>
      <c r="B30" s="65"/>
      <c r="C30" s="65"/>
      <c r="D30" s="65"/>
      <c r="E30" s="78"/>
      <c r="G30" s="81">
        <f>IF('1-Informations-paramètres '!C14="N",(SUMIFS(G16:G25,$F$16:$F$25,"Oui")*'1-Informations-paramètres '!C13),IF('1-Informations-paramètres '!C14="N+1",(SUMIFS(E16:E25,$F$16:$F$25,"Oui")*'1-Informations-paramètres '!C13),IF('1-Informations-paramètres '!C14="N+2",(SUMIFS(D16:D25,$F$16:$F$25,"Oui")*'1-Informations-paramètres '!C13),0)))</f>
        <v>0</v>
      </c>
      <c r="H30" s="57">
        <f>IF('1-Informations-paramètres '!C14="N",(SUMIFS(H16:H25,$F$16:$F$25,"Oui")*'1-Informations-paramètres '!C13),IF('1-Informations-paramètres '!C14="N+1",(SUMIFS(G16:G25,$F$16:$F$25,"Oui")*'1-Informations-paramètres '!C13),IF('1-Informations-paramètres '!C14="N+2",(SUMIFS(E16:E25,$F$16:$F$25,"Oui")*'1-Informations-paramètres '!C13),0)))</f>
        <v>0</v>
      </c>
      <c r="I30" s="57">
        <f>IF('1-Informations-paramètres '!$C$14="N",(SUMIFS(I16:I25,$F$16:$F$25,"Oui")*'1-Informations-paramètres '!$C$13),IF('1-Informations-paramètres '!$C$14="N+1",(SUMIFS(H16:H25,$F$16:$F$25,"Oui")*'1-Informations-paramètres '!$C$13),IF('1-Informations-paramètres '!$C$14="N+2",(SUMIFS(G16:G25,$F$16:$F$25,"Oui")*'1-Informations-paramètres '!$C$13),0)))</f>
        <v>0</v>
      </c>
      <c r="J30" s="57">
        <f>IF('1-Informations-paramètres '!$C$14="N",(SUMIFS(J16:J25,$F$16:$F$25,"Oui")*'1-Informations-paramètres '!$C$13),IF('1-Informations-paramètres '!$C$14="N+1",(SUMIFS(I16:I25,$F$16:$F$25,"Oui")*'1-Informations-paramètres '!$C$13),IF('1-Informations-paramètres '!$C$14="N+2",(SUMIFS(H16:H25,$F$16:$F$25,"Oui")*'1-Informations-paramètres '!$C$13),0)))</f>
        <v>0</v>
      </c>
      <c r="K30" s="57">
        <f>IF('1-Informations-paramètres '!$C$14="N",(SUMIFS(K16:K25,$F$16:$F$25,"Oui")*'1-Informations-paramètres '!$C$13),IF('1-Informations-paramètres '!$C$14="N+1",(SUMIFS(J16:J25,$F$16:$F$25,"Oui")*'1-Informations-paramètres '!$C$13),IF('1-Informations-paramètres '!$C$14="N+2",(SUMIFS(I16:I25,$F$16:$F$25,"Oui")*'1-Informations-paramètres '!$C$13),0)))</f>
        <v>0</v>
      </c>
      <c r="L30" s="51">
        <f>IF('1-Informations-paramètres '!$C$14="N",(SUMIFS(L16:L25,$F$16:$F$25,"Oui")*'1-Informations-paramètres '!$C$13),IF('1-Informations-paramètres '!$C$14="N+1",(SUMIFS(K16:K25,$F$16:$F$25,"Oui")*'1-Informations-paramètres '!$C$13),IF('1-Informations-paramètres '!$C$14="N+2",(SUMIFS(J16:J25,$F$16:$F$25,"Oui")*'1-Informations-paramètres '!$C$13),0)))</f>
        <v>0</v>
      </c>
    </row>
    <row r="31" spans="1:14" ht="15" customHeight="1" x14ac:dyDescent="0.25">
      <c r="A31" s="356"/>
      <c r="B31" s="65"/>
      <c r="C31" s="65"/>
      <c r="D31" s="65"/>
      <c r="E31" s="78"/>
      <c r="G31" s="131"/>
      <c r="H31" s="132"/>
      <c r="I31" s="132"/>
      <c r="J31" s="132"/>
      <c r="K31" s="132"/>
      <c r="L31" s="133"/>
    </row>
    <row r="32" spans="1:14" ht="15" customHeight="1" x14ac:dyDescent="0.25">
      <c r="A32" s="356"/>
      <c r="B32" s="65"/>
      <c r="C32" s="65"/>
      <c r="D32" s="65"/>
      <c r="E32" s="78"/>
      <c r="G32" s="131"/>
      <c r="H32" s="132"/>
      <c r="I32" s="132"/>
      <c r="J32" s="132"/>
      <c r="K32" s="132"/>
      <c r="L32" s="133"/>
      <c r="N32" s="41"/>
    </row>
    <row r="33" spans="1:16" ht="15" customHeight="1" x14ac:dyDescent="0.25">
      <c r="A33" s="356"/>
      <c r="B33" s="65"/>
      <c r="C33" s="65"/>
      <c r="D33" s="65"/>
      <c r="E33" s="78"/>
      <c r="G33" s="131"/>
      <c r="H33" s="132"/>
      <c r="I33" s="132"/>
      <c r="J33" s="132"/>
      <c r="K33" s="132"/>
      <c r="L33" s="133"/>
    </row>
    <row r="34" spans="1:16" ht="15" customHeight="1" x14ac:dyDescent="0.25">
      <c r="A34" s="356"/>
      <c r="B34" s="65"/>
      <c r="C34" s="65"/>
      <c r="D34" s="65"/>
      <c r="E34" s="78"/>
      <c r="G34" s="131"/>
      <c r="H34" s="132"/>
      <c r="I34" s="132"/>
      <c r="J34" s="132"/>
      <c r="K34" s="132"/>
      <c r="L34" s="133"/>
    </row>
    <row r="35" spans="1:16" ht="15" customHeight="1" x14ac:dyDescent="0.25">
      <c r="A35" s="356"/>
      <c r="B35" s="65"/>
      <c r="C35" s="65"/>
      <c r="D35" s="65"/>
      <c r="E35" s="78"/>
      <c r="G35" s="131"/>
      <c r="H35" s="132"/>
      <c r="I35" s="132"/>
      <c r="J35" s="132"/>
      <c r="K35" s="132"/>
      <c r="L35" s="133"/>
    </row>
    <row r="36" spans="1:16" ht="15" customHeight="1" x14ac:dyDescent="0.25">
      <c r="A36" s="356"/>
      <c r="B36" s="65"/>
      <c r="C36" s="65"/>
      <c r="D36" s="65"/>
      <c r="E36" s="78"/>
      <c r="G36" s="131"/>
      <c r="H36" s="132"/>
      <c r="I36" s="132"/>
      <c r="J36" s="132"/>
      <c r="K36" s="132"/>
      <c r="L36" s="133"/>
      <c r="M36" s="41"/>
    </row>
    <row r="37" spans="1:16" ht="15" customHeight="1" x14ac:dyDescent="0.25">
      <c r="A37" s="356"/>
      <c r="B37" s="65"/>
      <c r="C37" s="65"/>
      <c r="D37" s="65"/>
      <c r="E37" s="78"/>
      <c r="G37" s="131"/>
      <c r="H37" s="132"/>
      <c r="I37" s="132"/>
      <c r="J37" s="132"/>
      <c r="K37" s="132"/>
      <c r="L37" s="133"/>
    </row>
    <row r="38" spans="1:16" ht="15" customHeight="1" x14ac:dyDescent="0.25">
      <c r="A38" s="406" t="s">
        <v>16</v>
      </c>
      <c r="B38" s="65"/>
      <c r="C38" s="65"/>
      <c r="D38" s="65"/>
      <c r="E38" s="78"/>
      <c r="G38" s="82"/>
      <c r="H38" s="83"/>
      <c r="I38" s="83"/>
      <c r="J38" s="83"/>
      <c r="K38" s="83"/>
      <c r="L38" s="84"/>
    </row>
    <row r="39" spans="1:16" ht="15.6" customHeight="1" thickBot="1" x14ac:dyDescent="0.3">
      <c r="A39" s="164" t="s">
        <v>18</v>
      </c>
      <c r="B39" s="159">
        <f>B29-SUM(B30:B38)</f>
        <v>0</v>
      </c>
      <c r="C39" s="159">
        <f>C29-SUM(C30:C38)</f>
        <v>0</v>
      </c>
      <c r="D39" s="159">
        <f>D29-SUM(D30:D38)</f>
        <v>0</v>
      </c>
      <c r="E39" s="160">
        <f>E29-SUM(E30:E38)</f>
        <v>0</v>
      </c>
      <c r="F39" s="165"/>
      <c r="G39" s="166"/>
      <c r="H39" s="162"/>
      <c r="I39" s="162"/>
      <c r="J39" s="162"/>
      <c r="K39" s="162"/>
      <c r="L39" s="163"/>
    </row>
    <row r="40" spans="1:16" ht="11.45" customHeight="1" thickBot="1" x14ac:dyDescent="0.3"/>
    <row r="41" spans="1:16" ht="16.5" thickBot="1" x14ac:dyDescent="0.3">
      <c r="A41" s="41"/>
      <c r="C41" s="524" t="s">
        <v>49</v>
      </c>
      <c r="D41" s="525"/>
      <c r="E41" s="526"/>
      <c r="F41" s="142"/>
      <c r="G41" s="72">
        <f t="shared" ref="G41:L41" si="5">G48</f>
        <v>0</v>
      </c>
      <c r="H41" s="72">
        <f t="shared" si="5"/>
        <v>0</v>
      </c>
      <c r="I41" s="73">
        <f t="shared" si="5"/>
        <v>0</v>
      </c>
      <c r="J41" s="72">
        <f t="shared" si="5"/>
        <v>0</v>
      </c>
      <c r="K41" s="72">
        <f t="shared" si="5"/>
        <v>0</v>
      </c>
      <c r="L41" s="74">
        <f t="shared" si="5"/>
        <v>0</v>
      </c>
      <c r="M41" s="41"/>
    </row>
    <row r="42" spans="1:16" ht="15" thickBot="1" x14ac:dyDescent="0.3"/>
    <row r="43" spans="1:16" ht="15" hidden="1" thickBot="1" x14ac:dyDescent="0.3"/>
    <row r="44" spans="1:16" ht="32.25" customHeight="1" x14ac:dyDescent="0.25">
      <c r="A44" s="261" t="s">
        <v>108</v>
      </c>
      <c r="B44" s="229">
        <f>B28</f>
        <v>0</v>
      </c>
      <c r="C44" s="229">
        <f t="shared" ref="C44:K44" si="6">C28</f>
        <v>1</v>
      </c>
      <c r="D44" s="229">
        <f t="shared" si="6"/>
        <v>2</v>
      </c>
      <c r="E44" s="229">
        <f t="shared" si="6"/>
        <v>3</v>
      </c>
      <c r="F44" s="229"/>
      <c r="G44" s="229">
        <f t="shared" si="6"/>
        <v>4</v>
      </c>
      <c r="H44" s="229">
        <f t="shared" si="6"/>
        <v>5</v>
      </c>
      <c r="I44" s="229">
        <f t="shared" si="6"/>
        <v>6</v>
      </c>
      <c r="J44" s="229">
        <f t="shared" si="6"/>
        <v>7</v>
      </c>
      <c r="K44" s="229">
        <f t="shared" si="6"/>
        <v>8</v>
      </c>
      <c r="L44" s="230">
        <f>L28</f>
        <v>9</v>
      </c>
      <c r="N44" s="522" t="str">
        <f>"Evolution " &amp;B44 &amp;"/" &amp;E44</f>
        <v>Evolution 0/3</v>
      </c>
      <c r="P44" s="522" t="str">
        <f>"Evolution " &amp;'1-Informations-paramètres '!C49 &amp;"/" &amp;'1-Informations-paramètres '!C50</f>
        <v>Evolution /</v>
      </c>
    </row>
    <row r="45" spans="1:16" ht="21.75" customHeight="1" x14ac:dyDescent="0.25">
      <c r="A45" s="519" t="s">
        <v>50</v>
      </c>
      <c r="B45" s="520"/>
      <c r="C45" s="520"/>
      <c r="D45" s="520"/>
      <c r="E45" s="520"/>
      <c r="F45" s="520"/>
      <c r="G45" s="520"/>
      <c r="H45" s="520"/>
      <c r="I45" s="520"/>
      <c r="J45" s="520"/>
      <c r="K45" s="520"/>
      <c r="L45" s="521"/>
      <c r="N45" s="523"/>
      <c r="P45" s="523"/>
    </row>
    <row r="46" spans="1:16" ht="15" customHeight="1" x14ac:dyDescent="0.25">
      <c r="A46" s="311" t="s">
        <v>51</v>
      </c>
      <c r="B46" s="57">
        <f>-B4+B5+'2-Section de Fonctionnement'!B5-'2-Section de Fonctionnement'!B4+B9</f>
        <v>0</v>
      </c>
      <c r="C46" s="57">
        <f>B49</f>
        <v>0</v>
      </c>
      <c r="D46" s="56">
        <f t="shared" ref="D46:J46" si="7">C49</f>
        <v>0</v>
      </c>
      <c r="E46" s="312">
        <f t="shared" si="7"/>
        <v>0</v>
      </c>
      <c r="G46" s="317">
        <f>E49</f>
        <v>0</v>
      </c>
      <c r="H46" s="56">
        <f t="shared" si="7"/>
        <v>0</v>
      </c>
      <c r="I46" s="57">
        <f t="shared" si="7"/>
        <v>0</v>
      </c>
      <c r="J46" s="57">
        <f t="shared" si="7"/>
        <v>0</v>
      </c>
      <c r="K46" s="57">
        <f>J49</f>
        <v>0</v>
      </c>
      <c r="L46" s="52">
        <f>K49</f>
        <v>0</v>
      </c>
      <c r="N46" s="91">
        <f>IFERROR((E46-B46)/B46,0)</f>
        <v>0</v>
      </c>
      <c r="P46" s="91">
        <f>-IFERROR((INDEX(B46:L46, MATCH('1-Informations-paramètres '!C$49, $B$14:$L$14, 0)) - INDEX(B46:L46, MATCH('1-Informations-paramètres '!C$50, $B$14:$L$14, 0))) / INDEX(B46:E46, MATCH('1-Informations-paramètres '!C$49, $B$14:$L$14, 0)), "0")</f>
        <v>0</v>
      </c>
    </row>
    <row r="47" spans="1:16" ht="15" customHeight="1" x14ac:dyDescent="0.25">
      <c r="A47" s="311" t="s">
        <v>52</v>
      </c>
      <c r="B47" s="57">
        <f>(B15+'2-Section de Fonctionnement'!C10)-('2-Section de Fonctionnement'!C29+'4-Section d''Investissement'!B29-B38)</f>
        <v>0</v>
      </c>
      <c r="C47" s="57">
        <f>(C15+'2-Section de Fonctionnement'!D10)-('2-Section de Fonctionnement'!D29+'4-Section d''Investissement'!C29-C38)</f>
        <v>0</v>
      </c>
      <c r="D47" s="57">
        <f>(D15+'2-Section de Fonctionnement'!E10)-('2-Section de Fonctionnement'!E29+'4-Section d''Investissement'!D29-D38)</f>
        <v>0</v>
      </c>
      <c r="E47" s="313">
        <f>(E15+'2-Section de Fonctionnement'!F10)-('2-Section de Fonctionnement'!F29+'4-Section d''Investissement'!E29-E38)</f>
        <v>0</v>
      </c>
      <c r="G47" s="81">
        <f>(G15+'2-Section de Fonctionnement'!H10)-('2-Section de Fonctionnement'!H29+'4-Section d''Investissement'!G29)</f>
        <v>0</v>
      </c>
      <c r="H47" s="57">
        <f>(H15+'2-Section de Fonctionnement'!I10)-('2-Section de Fonctionnement'!I29+'4-Section d''Investissement'!H29)</f>
        <v>0</v>
      </c>
      <c r="I47" s="57">
        <f>(I15+'2-Section de Fonctionnement'!J10)-('2-Section de Fonctionnement'!J29+'4-Section d''Investissement'!I29)</f>
        <v>0</v>
      </c>
      <c r="J47" s="57">
        <f>(J15+'2-Section de Fonctionnement'!K10)-('2-Section de Fonctionnement'!K29+'4-Section d''Investissement'!J29)</f>
        <v>0</v>
      </c>
      <c r="K47" s="57">
        <f>(K15+'2-Section de Fonctionnement'!L10)-('2-Section de Fonctionnement'!L29+'4-Section d''Investissement'!K29)</f>
        <v>0</v>
      </c>
      <c r="L47" s="51">
        <f>(L15+'2-Section de Fonctionnement'!M10)-('2-Section de Fonctionnement'!M29+'4-Section d''Investissement'!L29)</f>
        <v>0</v>
      </c>
      <c r="N47" s="263"/>
      <c r="P47" s="263"/>
    </row>
    <row r="48" spans="1:16" ht="15" customHeight="1" x14ac:dyDescent="0.25">
      <c r="A48" s="311" t="s">
        <v>53</v>
      </c>
      <c r="B48" s="57">
        <f>B38</f>
        <v>0</v>
      </c>
      <c r="C48" s="57">
        <f>C38</f>
        <v>0</v>
      </c>
      <c r="D48" s="57">
        <f>D38</f>
        <v>0</v>
      </c>
      <c r="E48" s="313">
        <f>E38</f>
        <v>0</v>
      </c>
      <c r="G48" s="81">
        <f>'5-Recours à la dette '!F48</f>
        <v>0</v>
      </c>
      <c r="H48" s="57">
        <f>'5-Recours à la dette '!G48</f>
        <v>0</v>
      </c>
      <c r="I48" s="57">
        <f>'5-Recours à la dette '!H48</f>
        <v>0</v>
      </c>
      <c r="J48" s="57">
        <f>'5-Recours à la dette '!I48</f>
        <v>0</v>
      </c>
      <c r="K48" s="57">
        <f>'5-Recours à la dette '!J48</f>
        <v>0</v>
      </c>
      <c r="L48" s="51">
        <f>'5-Recours à la dette '!K48</f>
        <v>0</v>
      </c>
      <c r="N48" s="263"/>
      <c r="P48" s="263"/>
    </row>
    <row r="49" spans="1:16" ht="15" customHeight="1" x14ac:dyDescent="0.25">
      <c r="A49" s="311" t="s">
        <v>54</v>
      </c>
      <c r="B49" s="57">
        <f>B46-B47+B48</f>
        <v>0</v>
      </c>
      <c r="C49" s="57">
        <f>C46-C47+C48</f>
        <v>0</v>
      </c>
      <c r="D49" s="57">
        <f t="shared" ref="D49:K49" si="8">D46-D47+D48</f>
        <v>0</v>
      </c>
      <c r="E49" s="313">
        <f>E46-E47+E48</f>
        <v>0</v>
      </c>
      <c r="G49" s="81">
        <f t="shared" si="8"/>
        <v>0</v>
      </c>
      <c r="H49" s="57">
        <f t="shared" si="8"/>
        <v>0</v>
      </c>
      <c r="I49" s="57">
        <f t="shared" si="8"/>
        <v>0</v>
      </c>
      <c r="J49" s="57">
        <f t="shared" si="8"/>
        <v>0</v>
      </c>
      <c r="K49" s="57">
        <f t="shared" si="8"/>
        <v>0</v>
      </c>
      <c r="L49" s="51">
        <f>L46-L47+L48</f>
        <v>0</v>
      </c>
      <c r="N49" s="91">
        <f t="shared" ref="N49:N55" si="9">IFERROR((E49-B49)/B49,0)</f>
        <v>0</v>
      </c>
      <c r="P49" s="91">
        <f>-IFERROR((INDEX(B49:L49, MATCH('1-Informations-paramètres '!C$49, $B$14:$L$14, 0)) - INDEX(B49:L49, MATCH('1-Informations-paramètres '!C$50, $B$14:$L$14, 0))) / INDEX(B49:E49, MATCH('1-Informations-paramètres '!C$49, $B$14:$L$14, 0)), "0")</f>
        <v>0</v>
      </c>
    </row>
    <row r="50" spans="1:16" ht="15" customHeight="1" x14ac:dyDescent="0.25">
      <c r="A50" s="314" t="s">
        <v>55</v>
      </c>
      <c r="B50" s="315">
        <f>B49-B48</f>
        <v>0</v>
      </c>
      <c r="C50" s="315">
        <f t="shared" ref="C50:L50" si="10">C49-C48</f>
        <v>0</v>
      </c>
      <c r="D50" s="315">
        <f t="shared" si="10"/>
        <v>0</v>
      </c>
      <c r="E50" s="316">
        <f t="shared" si="10"/>
        <v>0</v>
      </c>
      <c r="F50" s="89"/>
      <c r="G50" s="318">
        <f t="shared" si="10"/>
        <v>0</v>
      </c>
      <c r="H50" s="315">
        <f t="shared" si="10"/>
        <v>0</v>
      </c>
      <c r="I50" s="315">
        <f t="shared" si="10"/>
        <v>0</v>
      </c>
      <c r="J50" s="315">
        <f t="shared" si="10"/>
        <v>0</v>
      </c>
      <c r="K50" s="315">
        <f t="shared" si="10"/>
        <v>0</v>
      </c>
      <c r="L50" s="319">
        <f t="shared" si="10"/>
        <v>0</v>
      </c>
      <c r="N50" s="91">
        <f t="shared" si="9"/>
        <v>0</v>
      </c>
      <c r="P50" s="91">
        <f>-IFERROR((INDEX(B50:L50, MATCH('1-Informations-paramètres '!C$49, $B$14:$L$14, 0)) - INDEX(B50:L50, MATCH('1-Informations-paramètres '!C$50, $B$14:$L$14, 0))) / INDEX(B50:E50, MATCH('1-Informations-paramètres '!C$49, $B$14:$L$14, 0)), "0")</f>
        <v>0</v>
      </c>
    </row>
    <row r="51" spans="1:16" ht="15" customHeight="1" x14ac:dyDescent="0.3">
      <c r="A51" s="516" t="s">
        <v>56</v>
      </c>
      <c r="B51" s="517"/>
      <c r="C51" s="517"/>
      <c r="D51" s="517"/>
      <c r="E51" s="517"/>
      <c r="F51" s="517"/>
      <c r="G51" s="517"/>
      <c r="H51" s="517"/>
      <c r="I51" s="517"/>
      <c r="J51" s="517"/>
      <c r="K51" s="517"/>
      <c r="L51" s="518"/>
      <c r="N51" s="263"/>
      <c r="P51" s="263"/>
    </row>
    <row r="52" spans="1:16" ht="15" customHeight="1" x14ac:dyDescent="0.25">
      <c r="A52" s="320" t="s">
        <v>57</v>
      </c>
      <c r="B52" s="57">
        <f>'1-Informations-paramètres '!C15+B38-B16</f>
        <v>0</v>
      </c>
      <c r="C52" s="57">
        <f>B52+C38-C16</f>
        <v>0</v>
      </c>
      <c r="D52" s="56">
        <f>C52+D38-D16</f>
        <v>0</v>
      </c>
      <c r="E52" s="321">
        <f>D52+E38-E16</f>
        <v>0</v>
      </c>
      <c r="G52" s="81">
        <f>E52+G41-G16</f>
        <v>0</v>
      </c>
      <c r="H52" s="57">
        <f>G52+H41-H16</f>
        <v>0</v>
      </c>
      <c r="I52" s="57">
        <f>H52+I41-I16</f>
        <v>0</v>
      </c>
      <c r="J52" s="57">
        <f>I52+J41-J16</f>
        <v>0</v>
      </c>
      <c r="K52" s="57">
        <f>J52+K41-K16</f>
        <v>0</v>
      </c>
      <c r="L52" s="51">
        <f>K52+L41-L16</f>
        <v>0</v>
      </c>
      <c r="N52" s="91">
        <f t="shared" si="9"/>
        <v>0</v>
      </c>
      <c r="P52" s="91">
        <f>-IFERROR((INDEX(B52:L52, MATCH('1-Informations-paramètres '!C$49, $B$14:$L$14, 0)) - INDEX(B52:L52, MATCH('1-Informations-paramètres '!C$50, $B$14:$L$14, 0))) / INDEX(B52:E52, MATCH('1-Informations-paramètres '!C$49, $B$14:$L$14, 0)), "0")</f>
        <v>0</v>
      </c>
    </row>
    <row r="53" spans="1:16" ht="15" customHeight="1" x14ac:dyDescent="0.25">
      <c r="A53" s="320" t="s">
        <v>58</v>
      </c>
      <c r="B53" s="132" t="s">
        <v>109</v>
      </c>
      <c r="C53" s="132" t="s">
        <v>109</v>
      </c>
      <c r="D53" s="132" t="s">
        <v>109</v>
      </c>
      <c r="E53" s="321">
        <f>'1-Informations-paramètres '!C11</f>
        <v>0</v>
      </c>
      <c r="G53" s="81">
        <f>('1-Informations-paramètres '!C11)+'1-Informations-paramètres '!C11*'1-Informations-paramètres '!C12</f>
        <v>0</v>
      </c>
      <c r="H53" s="57">
        <f>(G53)+(G53*'1-Informations-paramètres '!$C$12)</f>
        <v>0</v>
      </c>
      <c r="I53" s="57">
        <f>(H53)+(H53*'1-Informations-paramètres '!$C$12)</f>
        <v>0</v>
      </c>
      <c r="J53" s="57">
        <f>(I53)+(I53*'1-Informations-paramètres '!$C$12)</f>
        <v>0</v>
      </c>
      <c r="K53" s="57">
        <f>(J53)+(J53*'1-Informations-paramètres '!$C$12)</f>
        <v>0</v>
      </c>
      <c r="L53" s="51">
        <f>(K53)+(K53*'1-Informations-paramètres '!$C$12)</f>
        <v>0</v>
      </c>
      <c r="N53" s="91">
        <f t="shared" si="9"/>
        <v>0</v>
      </c>
      <c r="P53" s="91">
        <f>-IFERROR((INDEX(B53:L53, MATCH('1-Informations-paramètres '!C$49, $B$14:$L$14, 0)) - INDEX(B53:L53, MATCH('1-Informations-paramètres '!C$50, $B$14:$L$14, 0))) / INDEX(B53:E53, MATCH('1-Informations-paramètres '!C$49, $B$14:$L$14, 0)), "0")</f>
        <v>0</v>
      </c>
    </row>
    <row r="54" spans="1:16" ht="15" customHeight="1" x14ac:dyDescent="0.25">
      <c r="A54" s="320" t="s">
        <v>59</v>
      </c>
      <c r="B54" s="57" t="str">
        <f>IFERROR(IF('1-Informations-paramètres '!$C$10="en milliers d'euros",B52/B53*1000,IF('1-Informations-paramètres '!$C$10="en euros",B52/B53,IF('1-Informations-paramètres '!$C$10="en millions d'euros",B52/B53*1000000))),"A saisir")</f>
        <v>A saisir</v>
      </c>
      <c r="C54" s="57" t="str">
        <f>IFERROR(IF('1-Informations-paramètres '!$C$10="en milliers d'euros",C52/C53*1000,IF('1-Informations-paramètres '!$C$10="en euros",C52/C53,IF('1-Informations-paramètres '!$C$10="en millions d'euros",C52/C53*1000000))),"A saisir")</f>
        <v>A saisir</v>
      </c>
      <c r="D54" s="57" t="str">
        <f>IFERROR(IF('1-Informations-paramètres '!$C$10="en milliers d'euros",D52/D53*1000,IF('1-Informations-paramètres '!$C$10="en euros",D52/D53,IF('1-Informations-paramètres '!$C$10="en millions d'euros",D52/D53*1000000))),"A saisir")</f>
        <v>A saisir</v>
      </c>
      <c r="E54" s="321">
        <f>IFERROR(IF('1-Informations-paramètres '!$C$10="en milliers d'euros",E52/E53*1000,IF('1-Informations-paramètres '!$C$10="en euros",E52/E53,IF('1-Informations-paramètres '!$C$10="en millions d'euros",E52/E53*1000000))),0)</f>
        <v>0</v>
      </c>
      <c r="G54" s="81">
        <f>IFERROR(IF('1-Informations-paramètres '!$C$10="en milliers d'euros",G52/G53*1000,IF('1-Informations-paramètres '!$C$10="en euros",G52/G53,IF('1-Informations-paramètres '!$C$10="en millions d'euros",G52/G53*1000000))),0)</f>
        <v>0</v>
      </c>
      <c r="H54" s="57">
        <f>IFERROR(IF('1-Informations-paramètres '!$C$10="en milliers d'euros",H52/H53*1000,IF('1-Informations-paramètres '!$C$10="en euros",H52/H53,IF('1-Informations-paramètres '!$C$10="en millions d'euros",H52/H53*1000000))),0)</f>
        <v>0</v>
      </c>
      <c r="I54" s="57">
        <f>IFERROR(IF('1-Informations-paramètres '!$C$10="en milliers d'euros",I52/I53*1000,IF('1-Informations-paramètres '!$C$10="en euros",I52/I53,IF('1-Informations-paramètres '!$C$10="en millions d'euros",I52/I53*1000000))),0)</f>
        <v>0</v>
      </c>
      <c r="J54" s="57">
        <f>IFERROR(IF('1-Informations-paramètres '!$C$10="en milliers d'euros",J52/J53*1000,IF('1-Informations-paramètres '!$C$10="en euros",J52/J53,IF('1-Informations-paramètres '!$C$10="en millions d'euros",J52/J53*1000000))),0)</f>
        <v>0</v>
      </c>
      <c r="K54" s="57">
        <f>IFERROR(IF('1-Informations-paramètres '!$C$10="en milliers d'euros",K52/K53*1000,IF('1-Informations-paramètres '!$C$10="en euros",K52/K53,IF('1-Informations-paramètres '!$C$10="en millions d'euros",K52/K53*1000000))),0)</f>
        <v>0</v>
      </c>
      <c r="L54" s="51">
        <f>IFERROR(IF('1-Informations-paramètres '!$C$10="en milliers d'euros",L52/L53*1000,IF('1-Informations-paramètres '!$C$10="en euros",L52/L53,IF('1-Informations-paramètres '!$C$10="en millions d'euros",L52/L53*1000000))),0)</f>
        <v>0</v>
      </c>
      <c r="N54" s="91">
        <f t="shared" si="9"/>
        <v>0</v>
      </c>
      <c r="P54" s="91">
        <f>-IFERROR((INDEX(B54:L54, MATCH('1-Informations-paramètres '!C$49, $B$14:$L$14, 0)) - INDEX(B54:L54, MATCH('1-Informations-paramètres '!C$50, $B$14:$L$14, 0))) / INDEX(B54:E54, MATCH('1-Informations-paramètres '!C$49, $B$14:$L$14, 0)), "0")</f>
        <v>0</v>
      </c>
    </row>
    <row r="55" spans="1:16" ht="15.6" customHeight="1" thickBot="1" x14ac:dyDescent="0.3">
      <c r="A55" s="311" t="s">
        <v>60</v>
      </c>
      <c r="B55" s="336">
        <f>IFERROR(B52/'2-Section de Fonctionnement'!C48,0)</f>
        <v>0</v>
      </c>
      <c r="C55" s="336">
        <f>IFERROR(C52/'2-Section de Fonctionnement'!D48,0)</f>
        <v>0</v>
      </c>
      <c r="D55" s="336">
        <f>IFERROR(D52/'2-Section de Fonctionnement'!E48,0)</f>
        <v>0</v>
      </c>
      <c r="E55" s="337">
        <f>IFERROR(E52/'2-Section de Fonctionnement'!F48,0)</f>
        <v>0</v>
      </c>
      <c r="F55" s="146"/>
      <c r="G55" s="322">
        <f>IFERROR(G52/'2-Section de Fonctionnement'!H48,0)</f>
        <v>0</v>
      </c>
      <c r="H55" s="323">
        <f>IFERROR(H52/'2-Section de Fonctionnement'!I48,0)</f>
        <v>0</v>
      </c>
      <c r="I55" s="323">
        <f>IFERROR(I52/'2-Section de Fonctionnement'!J48,0)</f>
        <v>0</v>
      </c>
      <c r="J55" s="323">
        <f>IFERROR(J52/'2-Section de Fonctionnement'!K48,0)</f>
        <v>0</v>
      </c>
      <c r="K55" s="323">
        <f>IFERROR(K52/'2-Section de Fonctionnement'!L48,0)</f>
        <v>0</v>
      </c>
      <c r="L55" s="324">
        <f>IFERROR(L52/'2-Section de Fonctionnement'!M48,0)</f>
        <v>0</v>
      </c>
      <c r="N55" s="262">
        <f t="shared" si="9"/>
        <v>0</v>
      </c>
      <c r="P55" s="262">
        <f>-IFERROR((INDEX(B55:L55, MATCH('1-Informations-paramètres '!C$49, $B$14:$L$14, 0)) - INDEX(B55:L55, MATCH('1-Informations-paramètres '!C$50, $B$14:$L$14, 0))) / INDEX(B55:E55, MATCH('1-Informations-paramètres '!C$49, $B$14:$L$14, 0)), "0")</f>
        <v>0</v>
      </c>
    </row>
    <row r="56" spans="1:16" ht="15" thickBot="1" x14ac:dyDescent="0.3">
      <c r="A56" s="328" t="s">
        <v>61</v>
      </c>
      <c r="B56" s="326">
        <f>B15-B16</f>
        <v>0</v>
      </c>
      <c r="C56" s="326">
        <f>B56+C15-C16</f>
        <v>0</v>
      </c>
      <c r="D56" s="326">
        <f t="shared" ref="D56:E56" si="11">C56+D15-D16</f>
        <v>0</v>
      </c>
      <c r="E56" s="326">
        <f t="shared" si="11"/>
        <v>0</v>
      </c>
      <c r="F56" s="88"/>
      <c r="G56" s="325">
        <f>E56+G15-G16</f>
        <v>0</v>
      </c>
      <c r="H56" s="326">
        <f>G56+H15-H16</f>
        <v>0</v>
      </c>
      <c r="I56" s="326">
        <f t="shared" ref="I56:L56" si="12">H56+I15-I16</f>
        <v>0</v>
      </c>
      <c r="J56" s="326">
        <f t="shared" si="12"/>
        <v>0</v>
      </c>
      <c r="K56" s="326">
        <f t="shared" si="12"/>
        <v>0</v>
      </c>
      <c r="L56" s="327">
        <f t="shared" si="12"/>
        <v>0</v>
      </c>
    </row>
    <row r="58" spans="1:16" hidden="1" x14ac:dyDescent="0.25">
      <c r="A58" s="40" t="s">
        <v>30</v>
      </c>
      <c r="G58" s="41"/>
    </row>
    <row r="59" spans="1:16" hidden="1" x14ac:dyDescent="0.25">
      <c r="A59" s="40" t="s">
        <v>31</v>
      </c>
      <c r="G59" s="41"/>
    </row>
    <row r="60" spans="1:16" x14ac:dyDescent="0.25">
      <c r="G60" s="41"/>
      <c r="J60" s="41"/>
    </row>
    <row r="61" spans="1:16" x14ac:dyDescent="0.25">
      <c r="C61" s="41"/>
    </row>
  </sheetData>
  <sheetProtection algorithmName="SHA-512" hashValue="HL5BQNt94Vn585o/OIjnWzkrPsw4Ogk1oe64mKcGrVrZsGvTltxlwVhNOVyf9q9hVs6zurNrTo31th1wCbMQyw==" saltValue="0TmA4fgMej/u+MHRFX+gqg==" spinCount="100000" sheet="1" formatRows="0"/>
  <mergeCells count="11">
    <mergeCell ref="A1:P1"/>
    <mergeCell ref="B12:E12"/>
    <mergeCell ref="G12:L12"/>
    <mergeCell ref="A26:K26"/>
    <mergeCell ref="A2:M2"/>
    <mergeCell ref="F14:F15"/>
    <mergeCell ref="A51:L51"/>
    <mergeCell ref="A45:L45"/>
    <mergeCell ref="N44:N45"/>
    <mergeCell ref="P44:P45"/>
    <mergeCell ref="C41:E41"/>
  </mergeCells>
  <dataValidations xWindow="432" yWindow="399" count="3">
    <dataValidation type="decimal" operator="greaterThanOrEqual" allowBlank="1" showErrorMessage="1" errorTitle="Attention" error="Le nombre saisi doit être suppérieur ou égale à zéro." promptTitle="Attention" prompt="Le nombre saisit doit être suppérieur à zéro" sqref="B4:B5" xr:uid="{C30B7F71-A285-4ED7-A1CC-FADF86100678}">
      <formula1>0</formula1>
    </dataValidation>
    <dataValidation type="list" errorStyle="warning" showErrorMessage="1" errorTitle="Eligible FCTVA" error="Saisir &quot;Oui&quot; ou &quot;Non&quot; " promptTitle="Eligible FCTVA" prompt="Saisir &quot;Oui&quot; ou &quot;Non&quot; " sqref="F17:F25" xr:uid="{407AC1B3-5B06-4B10-B2CC-5673C925A94C}">
      <formula1>$A$58:$A$59</formula1>
    </dataValidation>
    <dataValidation allowBlank="1" showInputMessage="1" showErrorMessage="1" sqref="P44" xr:uid="{A895725B-C1CB-4EEF-BC99-4DD50969A21B}"/>
  </dataValidations>
  <pageMargins left="0.7" right="0.7" top="0.75" bottom="0.75" header="0.3" footer="0.3"/>
  <pageSetup paperSize="8" scale="77" orientation="landscape" r:id="rId1"/>
  <ignoredErrors>
    <ignoredError sqref="G15 H15:L15"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1" id="{836588CF-2AB3-4841-8BB7-AC78D3587E3C}">
            <x14:iconSet iconSet="5Arrows" custom="1">
              <x14:cfvo type="percent">
                <xm:f>0</xm:f>
              </x14:cfvo>
              <x14:cfvo type="num">
                <xm:f>0</xm:f>
              </x14:cfvo>
              <x14:cfvo type="num">
                <xm:f>5</xm:f>
              </x14:cfvo>
              <x14:cfvo type="num">
                <xm:f>8</xm:f>
              </x14:cfvo>
              <x14:cfvo type="num">
                <xm:f>12</xm:f>
              </x14:cfvo>
              <x14:cfIcon iconSet="3Symbols" iconId="0"/>
              <x14:cfIcon iconSet="3Flags" iconId="2"/>
              <x14:cfIcon iconSet="3Flags" iconId="1"/>
              <x14:cfIcon iconSet="3Symbols2" iconId="1"/>
              <x14:cfIcon iconSet="3Flags" iconId="0"/>
            </x14:iconSet>
          </x14:cfRule>
          <xm:sqref>B55:E55 G55:L55</xm:sqref>
        </x14:conditionalFormatting>
      </x14:conditionalFormattings>
    </ext>
    <ext xmlns:x14="http://schemas.microsoft.com/office/spreadsheetml/2009/9/main" uri="{CCE6A557-97BC-4b89-ADB6-D9C93CAAB3DF}">
      <x14:dataValidations xmlns:xm="http://schemas.microsoft.com/office/excel/2006/main" xWindow="432" yWindow="399" count="6">
        <x14:dataValidation type="list" allowBlank="1" showInputMessage="1" showErrorMessage="1" errorTitle="Saisie non conforme" error="Vous devez choisir une entrée parmis la liste déroulante (en cliquant sur la flêche à droite de la cellule)._x000a_Cette liste peut être modifiée dans dans l'onglet &quot;1-Informations et paramétrages&quot;." xr:uid="{A3D3A98B-6EA3-4AAE-83C5-F915452DA29E}">
          <x14:formula1>
            <xm:f>'1-Informations-paramètres '!$B$38:$B$46</xm:f>
          </x14:formula1>
          <xm:sqref>A17:A24</xm:sqref>
        </x14:dataValidation>
        <x14:dataValidation type="list" allowBlank="1" showInputMessage="1" showErrorMessage="1" errorTitle="Saisie non conforme" error="Vous devez choisir une entrée parmis la liste déroulante (en cliquant sur la flêche à droite de la cellule)._x000a_Cette liste peut être modifiée dans dans l'onglet &quot;1-Informations et paramétrages&quot;." xr:uid="{7D66EBFD-7FCD-4DB7-B606-1722A06E6E29}">
          <x14:formula1>
            <xm:f>'1-Informations-paramètres '!$D$39:$D$46</xm:f>
          </x14:formula1>
          <xm:sqref>A31:A37</xm:sqref>
        </x14:dataValidation>
        <x14:dataValidation type="list" allowBlank="1" showInputMessage="1" showErrorMessage="1" xr:uid="{EFD79405-553B-425A-B356-136AA9F5FEE6}">
          <x14:formula1>
            <xm:f>'1-Informations-paramètres '!$B$37</xm:f>
          </x14:formula1>
          <xm:sqref>A16</xm:sqref>
        </x14:dataValidation>
        <x14:dataValidation type="list" allowBlank="1" showInputMessage="1" showErrorMessage="1" xr:uid="{100FFE3E-C963-49DA-9416-A6B492B4FA60}">
          <x14:formula1>
            <xm:f>'1-Informations-paramètres '!$D$37</xm:f>
          </x14:formula1>
          <xm:sqref>A30</xm:sqref>
        </x14:dataValidation>
        <x14:dataValidation type="list" allowBlank="1" showInputMessage="1" showErrorMessage="1" xr:uid="{FD8E6F88-469B-4445-ACE9-3757EB173223}">
          <x14:formula1>
            <xm:f>'1-Informations-paramètres '!$D$46</xm:f>
          </x14:formula1>
          <xm:sqref>A39</xm:sqref>
        </x14:dataValidation>
        <x14:dataValidation type="list" allowBlank="1" showInputMessage="1" showErrorMessage="1" xr:uid="{39CEDE3F-2035-41A9-96F2-7FC0FFFFAE65}">
          <x14:formula1>
            <xm:f>'1-Informations-paramètres '!$D$38</xm:f>
          </x14:formula1>
          <xm:sqref>A38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6054-3651-4860-B049-7F6E0D4561E1}">
  <sheetPr codeName="Feuil5">
    <pageSetUpPr fitToPage="1"/>
  </sheetPr>
  <dimension ref="A1:K51"/>
  <sheetViews>
    <sheetView zoomScale="85" zoomScaleNormal="85" workbookViewId="0">
      <selection activeCell="B29" sqref="B29:C29"/>
    </sheetView>
  </sheetViews>
  <sheetFormatPr baseColWidth="10" defaultColWidth="11.5703125" defaultRowHeight="16.5" x14ac:dyDescent="0.3"/>
  <cols>
    <col min="1" max="1" width="60.140625" style="1" customWidth="1"/>
    <col min="2" max="10" width="10.7109375" style="1" customWidth="1"/>
    <col min="11" max="11" width="9.7109375" style="1" customWidth="1"/>
    <col min="12" max="16384" width="11.5703125" style="1"/>
  </cols>
  <sheetData>
    <row r="1" spans="1:11" ht="21" thickBot="1" x14ac:dyDescent="0.4">
      <c r="A1" s="507" t="s">
        <v>104</v>
      </c>
      <c r="B1" s="508"/>
      <c r="C1" s="508"/>
      <c r="D1" s="508"/>
      <c r="E1" s="508"/>
      <c r="F1" s="508"/>
      <c r="G1" s="508"/>
      <c r="H1" s="508"/>
      <c r="I1" s="508"/>
      <c r="J1" s="508"/>
      <c r="K1" s="508"/>
    </row>
    <row r="2" spans="1:11" x14ac:dyDescent="0.3">
      <c r="A2" s="548" t="str">
        <f>"Les montants ci-dessous sont exprimés " &amp; '1-Informations-paramètres '!C10</f>
        <v>Les montants ci-dessous sont exprimés en milliers d'euros</v>
      </c>
      <c r="B2" s="548"/>
      <c r="C2" s="548"/>
      <c r="D2" s="548"/>
      <c r="E2" s="548"/>
      <c r="F2" s="548"/>
      <c r="G2" s="548"/>
      <c r="H2" s="548"/>
      <c r="I2" s="548"/>
      <c r="J2" s="548"/>
    </row>
    <row r="3" spans="1:11" ht="17.25" thickBot="1" x14ac:dyDescent="0.35">
      <c r="B3" s="128"/>
    </row>
    <row r="4" spans="1:11" ht="17.25" thickBot="1" x14ac:dyDescent="0.35">
      <c r="B4" s="543" t="s">
        <v>25</v>
      </c>
      <c r="C4" s="544"/>
      <c r="D4" s="544"/>
      <c r="E4" s="545"/>
      <c r="F4" s="546" t="s">
        <v>26</v>
      </c>
      <c r="G4" s="546"/>
      <c r="H4" s="546"/>
      <c r="I4" s="546"/>
      <c r="J4" s="546"/>
      <c r="K4" s="547"/>
    </row>
    <row r="5" spans="1:11" x14ac:dyDescent="0.3">
      <c r="A5" s="264" t="s">
        <v>62</v>
      </c>
      <c r="B5" s="265">
        <f>'1-Informations-paramètres '!C8:C8</f>
        <v>0</v>
      </c>
      <c r="C5" s="266">
        <f t="shared" ref="C5:K5" si="0">B5+1</f>
        <v>1</v>
      </c>
      <c r="D5" s="266">
        <f t="shared" si="0"/>
        <v>2</v>
      </c>
      <c r="E5" s="267">
        <f t="shared" si="0"/>
        <v>3</v>
      </c>
      <c r="F5" s="268">
        <f t="shared" si="0"/>
        <v>4</v>
      </c>
      <c r="G5" s="266">
        <f t="shared" si="0"/>
        <v>5</v>
      </c>
      <c r="H5" s="266">
        <f t="shared" si="0"/>
        <v>6</v>
      </c>
      <c r="I5" s="266">
        <f t="shared" si="0"/>
        <v>7</v>
      </c>
      <c r="J5" s="266">
        <f t="shared" si="0"/>
        <v>8</v>
      </c>
      <c r="K5" s="267">
        <f t="shared" si="0"/>
        <v>9</v>
      </c>
    </row>
    <row r="6" spans="1:11" x14ac:dyDescent="0.3">
      <c r="A6" s="218" t="s">
        <v>63</v>
      </c>
      <c r="B6" s="220">
        <f>'4-Section d''Investissement'!B16</f>
        <v>0</v>
      </c>
      <c r="C6" s="167">
        <f>'4-Section d''Investissement'!C16</f>
        <v>0</v>
      </c>
      <c r="D6" s="167">
        <f>'4-Section d''Investissement'!D16</f>
        <v>0</v>
      </c>
      <c r="E6" s="273">
        <f>'4-Section d''Investissement'!E16</f>
        <v>0</v>
      </c>
      <c r="F6" s="274"/>
      <c r="G6" s="275"/>
      <c r="H6" s="276"/>
      <c r="I6" s="275"/>
      <c r="J6" s="275"/>
      <c r="K6" s="277"/>
    </row>
    <row r="7" spans="1:11" ht="17.25" thickBot="1" x14ac:dyDescent="0.35">
      <c r="A7" s="219" t="s">
        <v>64</v>
      </c>
      <c r="B7" s="221">
        <f>'2-Section de Fonctionnement'!C12</f>
        <v>0</v>
      </c>
      <c r="C7" s="168">
        <f>'2-Section de Fonctionnement'!D12</f>
        <v>0</v>
      </c>
      <c r="D7" s="168">
        <f>'2-Section de Fonctionnement'!E12</f>
        <v>0</v>
      </c>
      <c r="E7" s="278">
        <f>'2-Section de Fonctionnement'!F12</f>
        <v>0</v>
      </c>
      <c r="F7" s="279"/>
      <c r="G7" s="280"/>
      <c r="H7" s="280"/>
      <c r="I7" s="280"/>
      <c r="J7" s="280"/>
      <c r="K7" s="281"/>
    </row>
    <row r="8" spans="1:11" s="3" customFormat="1" ht="17.25" thickBot="1" x14ac:dyDescent="0.35">
      <c r="A8" s="2"/>
      <c r="B8" s="2"/>
      <c r="C8" s="2"/>
      <c r="D8" s="2"/>
      <c r="E8" s="2"/>
      <c r="F8" s="2"/>
      <c r="G8" s="2"/>
      <c r="H8" s="2"/>
      <c r="I8" s="2"/>
      <c r="J8" s="2"/>
    </row>
    <row r="9" spans="1:11" x14ac:dyDescent="0.3">
      <c r="A9" s="272" t="s">
        <v>65</v>
      </c>
      <c r="B9" s="531"/>
      <c r="C9" s="532"/>
      <c r="D9" s="532"/>
      <c r="E9" s="533"/>
      <c r="F9" s="269">
        <f>E5+1</f>
        <v>4</v>
      </c>
      <c r="G9" s="270">
        <f>F9+1</f>
        <v>5</v>
      </c>
      <c r="H9" s="270">
        <f>G9+1</f>
        <v>6</v>
      </c>
      <c r="I9" s="270">
        <f>H9+1</f>
        <v>7</v>
      </c>
      <c r="J9" s="270">
        <f>I9+1</f>
        <v>8</v>
      </c>
      <c r="K9" s="271">
        <f>J9+1</f>
        <v>9</v>
      </c>
    </row>
    <row r="10" spans="1:11" ht="16.5" hidden="1" customHeight="1" x14ac:dyDescent="0.3">
      <c r="A10" s="150" t="s">
        <v>66</v>
      </c>
      <c r="B10" s="534"/>
      <c r="C10" s="535"/>
      <c r="D10" s="535"/>
      <c r="E10" s="536"/>
      <c r="F10" s="151">
        <f>'4-Section d''Investissement'!G47</f>
        <v>0</v>
      </c>
      <c r="G10" s="21">
        <f>'4-Section d''Investissement'!H47</f>
        <v>0</v>
      </c>
      <c r="H10" s="20">
        <f>'4-Section d''Investissement'!I47</f>
        <v>0</v>
      </c>
      <c r="I10" s="20">
        <f>'4-Section d''Investissement'!J47</f>
        <v>0</v>
      </c>
      <c r="J10" s="20">
        <f>'4-Section d''Investissement'!K47</f>
        <v>0</v>
      </c>
      <c r="K10" s="22">
        <f>'4-Section d''Investissement'!L47</f>
        <v>0</v>
      </c>
    </row>
    <row r="11" spans="1:11" ht="16.5" hidden="1" customHeight="1" x14ac:dyDescent="0.3">
      <c r="A11" s="150" t="s">
        <v>67</v>
      </c>
      <c r="B11" s="534"/>
      <c r="C11" s="535"/>
      <c r="D11" s="535"/>
      <c r="E11" s="536"/>
      <c r="F11" s="151">
        <f>'4-Section d''Investissement'!G46</f>
        <v>0</v>
      </c>
      <c r="G11" s="21">
        <f>'4-Section d''Investissement'!H46</f>
        <v>0</v>
      </c>
      <c r="H11" s="20">
        <f>'4-Section d''Investissement'!I46</f>
        <v>0</v>
      </c>
      <c r="I11" s="20">
        <f>'4-Section d''Investissement'!J46</f>
        <v>0</v>
      </c>
      <c r="J11" s="20">
        <f>'4-Section d''Investissement'!K46</f>
        <v>0</v>
      </c>
      <c r="K11" s="22">
        <f>'4-Section d''Investissement'!L46</f>
        <v>0</v>
      </c>
    </row>
    <row r="12" spans="1:11" x14ac:dyDescent="0.3">
      <c r="A12" s="377" t="s">
        <v>68</v>
      </c>
      <c r="B12" s="534"/>
      <c r="C12" s="535"/>
      <c r="D12" s="535"/>
      <c r="E12" s="536"/>
      <c r="F12" s="374"/>
      <c r="G12" s="375"/>
      <c r="H12" s="375"/>
      <c r="I12" s="375"/>
      <c r="J12" s="375"/>
      <c r="K12" s="376"/>
    </row>
    <row r="13" spans="1:11" ht="16.5" hidden="1" customHeight="1" x14ac:dyDescent="0.3">
      <c r="A13" s="372" t="s">
        <v>69</v>
      </c>
      <c r="B13" s="534"/>
      <c r="C13" s="535"/>
      <c r="D13" s="535"/>
      <c r="E13" s="536"/>
      <c r="F13" s="373">
        <f t="shared" ref="F13:K13" si="1">+F10-F11+F12</f>
        <v>0</v>
      </c>
      <c r="G13" s="59">
        <f t="shared" si="1"/>
        <v>0</v>
      </c>
      <c r="H13" s="59">
        <f t="shared" si="1"/>
        <v>0</v>
      </c>
      <c r="I13" s="59">
        <f t="shared" si="1"/>
        <v>0</v>
      </c>
      <c r="J13" s="59">
        <f t="shared" si="1"/>
        <v>0</v>
      </c>
      <c r="K13" s="60">
        <f t="shared" si="1"/>
        <v>0</v>
      </c>
    </row>
    <row r="14" spans="1:11" x14ac:dyDescent="0.3">
      <c r="A14" s="169" t="s">
        <v>70</v>
      </c>
      <c r="B14" s="534"/>
      <c r="C14" s="535"/>
      <c r="D14" s="535"/>
      <c r="E14" s="536"/>
      <c r="F14" s="384">
        <f t="shared" ref="F14:K14" si="2">IFERROR(IF(F13&gt;0,F13,0),0)</f>
        <v>0</v>
      </c>
      <c r="G14" s="315">
        <f t="shared" si="2"/>
        <v>0</v>
      </c>
      <c r="H14" s="315">
        <f t="shared" si="2"/>
        <v>0</v>
      </c>
      <c r="I14" s="315">
        <f t="shared" si="2"/>
        <v>0</v>
      </c>
      <c r="J14" s="315">
        <f t="shared" si="2"/>
        <v>0</v>
      </c>
      <c r="K14" s="319">
        <f t="shared" si="2"/>
        <v>0</v>
      </c>
    </row>
    <row r="15" spans="1:11" x14ac:dyDescent="0.3">
      <c r="A15" s="170" t="s">
        <v>71</v>
      </c>
      <c r="B15" s="534"/>
      <c r="C15" s="535"/>
      <c r="D15" s="535"/>
      <c r="E15" s="536"/>
      <c r="F15" s="378"/>
      <c r="G15" s="379"/>
      <c r="H15" s="379"/>
      <c r="I15" s="379"/>
      <c r="J15" s="379"/>
      <c r="K15" s="380"/>
    </row>
    <row r="16" spans="1:11" ht="17.25" thickBot="1" x14ac:dyDescent="0.35">
      <c r="A16" s="171" t="s">
        <v>72</v>
      </c>
      <c r="B16" s="537"/>
      <c r="C16" s="538"/>
      <c r="D16" s="538"/>
      <c r="E16" s="539"/>
      <c r="F16" s="381"/>
      <c r="G16" s="382"/>
      <c r="H16" s="382"/>
      <c r="I16" s="382"/>
      <c r="J16" s="382"/>
      <c r="K16" s="383"/>
    </row>
    <row r="17" spans="1:11" x14ac:dyDescent="0.3">
      <c r="A17" s="29"/>
      <c r="B17" s="2"/>
      <c r="C17" s="2"/>
      <c r="D17" s="2"/>
      <c r="E17" s="2"/>
      <c r="F17" s="2"/>
      <c r="G17" s="3"/>
    </row>
    <row r="18" spans="1:11" hidden="1" x14ac:dyDescent="0.3">
      <c r="A18" s="549" t="s">
        <v>73</v>
      </c>
      <c r="B18" s="550"/>
      <c r="C18" s="550"/>
      <c r="D18" s="550"/>
      <c r="E18" s="550"/>
      <c r="F18" s="551"/>
      <c r="G18" s="3"/>
    </row>
    <row r="19" spans="1:11" hidden="1" x14ac:dyDescent="0.3">
      <c r="A19" s="8">
        <f>F9</f>
        <v>4</v>
      </c>
      <c r="B19" s="339"/>
      <c r="C19" s="339">
        <f>IFERROR($F$14-($F$14/$F$15),0)</f>
        <v>0</v>
      </c>
      <c r="D19" s="339">
        <f>IFERROR(C19-($F$14/$F$15),0)</f>
        <v>0</v>
      </c>
      <c r="E19" s="339">
        <f>IFERROR(D19-($F$14/$F$15),0)</f>
        <v>0</v>
      </c>
      <c r="F19" s="340">
        <f>IFERROR(E19-($F$14/$F$15),0)</f>
        <v>0</v>
      </c>
      <c r="G19" s="3"/>
    </row>
    <row r="20" spans="1:11" hidden="1" x14ac:dyDescent="0.3">
      <c r="A20" s="8">
        <f>G9</f>
        <v>5</v>
      </c>
      <c r="B20" s="339"/>
      <c r="C20" s="339"/>
      <c r="D20" s="339">
        <f>IFERROR($G$14-($G$14/$G$15),0)</f>
        <v>0</v>
      </c>
      <c r="E20" s="339">
        <f>IFERROR(D20-($G$14/$G$15),0)</f>
        <v>0</v>
      </c>
      <c r="F20" s="340">
        <f>IFERROR(E20-($G$14/$G$15),0)</f>
        <v>0</v>
      </c>
      <c r="G20" s="3"/>
    </row>
    <row r="21" spans="1:11" hidden="1" x14ac:dyDescent="0.3">
      <c r="A21" s="8">
        <f>H9</f>
        <v>6</v>
      </c>
      <c r="B21" s="339"/>
      <c r="C21" s="339"/>
      <c r="D21" s="339"/>
      <c r="E21" s="339">
        <f>IFERROR($H$14-($H$14/$H$15),0)</f>
        <v>0</v>
      </c>
      <c r="F21" s="340">
        <f>IFERROR(E21-($H$14/$H$15),0)</f>
        <v>0</v>
      </c>
      <c r="G21" s="3"/>
    </row>
    <row r="22" spans="1:11" hidden="1" x14ac:dyDescent="0.3">
      <c r="A22" s="8">
        <f>I9</f>
        <v>7</v>
      </c>
      <c r="B22" s="339"/>
      <c r="C22" s="339"/>
      <c r="D22" s="339"/>
      <c r="E22" s="339"/>
      <c r="F22" s="340">
        <f>IFERROR($I$14-($I$14/$I$15),0)</f>
        <v>0</v>
      </c>
      <c r="G22" s="3"/>
    </row>
    <row r="23" spans="1:11" hidden="1" x14ac:dyDescent="0.3">
      <c r="A23" s="9">
        <f>J9</f>
        <v>8</v>
      </c>
      <c r="B23" s="341"/>
      <c r="C23" s="341"/>
      <c r="D23" s="341"/>
      <c r="E23" s="341"/>
      <c r="F23" s="342"/>
      <c r="G23" s="3"/>
    </row>
    <row r="24" spans="1:11" hidden="1" x14ac:dyDescent="0.3">
      <c r="A24" s="3"/>
      <c r="B24" s="3"/>
      <c r="C24" s="3"/>
      <c r="D24" s="3"/>
      <c r="E24" s="3"/>
      <c r="F24" s="3"/>
      <c r="G24" s="3"/>
    </row>
    <row r="25" spans="1:11" hidden="1" x14ac:dyDescent="0.3">
      <c r="A25" s="10" t="s">
        <v>74</v>
      </c>
      <c r="B25" s="11">
        <f>F9</f>
        <v>4</v>
      </c>
      <c r="C25" s="11">
        <f>B25+1</f>
        <v>5</v>
      </c>
      <c r="D25" s="11">
        <f>C25+1</f>
        <v>6</v>
      </c>
      <c r="E25" s="12">
        <f>D25+1</f>
        <v>7</v>
      </c>
      <c r="F25" s="12">
        <f>E25+1</f>
        <v>8</v>
      </c>
      <c r="G25" s="12">
        <f>F25+1</f>
        <v>9</v>
      </c>
    </row>
    <row r="26" spans="1:11" hidden="1" x14ac:dyDescent="0.3">
      <c r="A26" s="7" t="s">
        <v>75</v>
      </c>
      <c r="B26" s="343"/>
      <c r="C26" s="344">
        <f>IFERROR((F14/F15),0)</f>
        <v>0</v>
      </c>
      <c r="D26" s="344">
        <f>IFERROR((F14/F15)+(G14/G15),0)</f>
        <v>0</v>
      </c>
      <c r="E26" s="345">
        <f>IFERROR((F14/F15)+(G14/G15)+(H14/H15),0)</f>
        <v>0</v>
      </c>
      <c r="F26" s="345">
        <f>IFERROR((F14/F15)+(G14/G15)+(H14/H15)+(I14/I15),0)</f>
        <v>0</v>
      </c>
      <c r="G26" s="345">
        <f>IFERROR((F14/F15)+(G14/G15)+(H14/H15)+(I14/I15)+(J14/J15),0)</f>
        <v>0</v>
      </c>
    </row>
    <row r="27" spans="1:11" hidden="1" x14ac:dyDescent="0.3">
      <c r="A27" s="13" t="s">
        <v>76</v>
      </c>
      <c r="B27" s="346"/>
      <c r="C27" s="347">
        <f>IFERROR((F14*F16),0)</f>
        <v>0</v>
      </c>
      <c r="D27" s="347">
        <f>IFERROR((C19*$F$16)+(G14*G16),0)</f>
        <v>0</v>
      </c>
      <c r="E27" s="348">
        <f>IFERROR((H14*H16)+(D19*F16)+(D20*G16),0)</f>
        <v>0</v>
      </c>
      <c r="F27" s="348">
        <f>IFERROR((I14*I16)+(E19*F16)+(E20*G16)+(E21*H16),0)</f>
        <v>0</v>
      </c>
      <c r="G27" s="348">
        <f>IFERROR((J14*J16)+((F19*F16)+(F20*G16)+(F21*H16)+(F22*I16)),0)</f>
        <v>0</v>
      </c>
    </row>
    <row r="28" spans="1:11" ht="17.25" hidden="1" thickBot="1" x14ac:dyDescent="0.35">
      <c r="A28" s="3"/>
      <c r="B28" s="3"/>
      <c r="C28" s="3"/>
      <c r="D28" s="3"/>
      <c r="E28" s="3"/>
      <c r="F28" s="3"/>
      <c r="G28" s="3"/>
    </row>
    <row r="29" spans="1:11" ht="32.25" customHeight="1" x14ac:dyDescent="0.3">
      <c r="A29" s="416" t="s">
        <v>77</v>
      </c>
      <c r="B29" s="552" t="s">
        <v>78</v>
      </c>
      <c r="C29" s="553"/>
      <c r="D29" s="417" t="s">
        <v>122</v>
      </c>
      <c r="E29" s="418"/>
      <c r="F29" s="418"/>
      <c r="G29" s="418"/>
      <c r="H29" s="419"/>
      <c r="I29" s="419"/>
      <c r="J29" s="419"/>
      <c r="K29" s="420"/>
    </row>
    <row r="30" spans="1:11" ht="18" customHeight="1" x14ac:dyDescent="0.3">
      <c r="A30" s="421"/>
      <c r="B30" s="414"/>
      <c r="C30" s="414"/>
      <c r="D30" s="414"/>
      <c r="E30" s="414"/>
      <c r="F30" s="414"/>
      <c r="G30" s="414"/>
      <c r="H30" s="415"/>
      <c r="I30" s="415"/>
      <c r="J30" s="415"/>
      <c r="K30" s="422"/>
    </row>
    <row r="31" spans="1:11" ht="18" customHeight="1" thickBot="1" x14ac:dyDescent="0.35">
      <c r="A31" s="540" t="s">
        <v>94</v>
      </c>
      <c r="B31" s="541"/>
      <c r="C31" s="541"/>
      <c r="D31" s="541"/>
      <c r="E31" s="541"/>
      <c r="F31" s="541"/>
      <c r="G31" s="541"/>
      <c r="H31" s="541"/>
      <c r="I31" s="541"/>
      <c r="J31" s="541"/>
      <c r="K31" s="542"/>
    </row>
    <row r="32" spans="1:11" x14ac:dyDescent="0.3">
      <c r="A32" s="152" t="s">
        <v>79</v>
      </c>
      <c r="B32" s="153">
        <f>B5</f>
        <v>0</v>
      </c>
      <c r="C32" s="153">
        <f t="shared" ref="C32:K32" si="3">B32+1</f>
        <v>1</v>
      </c>
      <c r="D32" s="153">
        <f t="shared" si="3"/>
        <v>2</v>
      </c>
      <c r="E32" s="155">
        <f t="shared" si="3"/>
        <v>3</v>
      </c>
      <c r="F32" s="154">
        <f t="shared" si="3"/>
        <v>4</v>
      </c>
      <c r="G32" s="153">
        <f t="shared" si="3"/>
        <v>5</v>
      </c>
      <c r="H32" s="153">
        <f t="shared" si="3"/>
        <v>6</v>
      </c>
      <c r="I32" s="153">
        <f t="shared" si="3"/>
        <v>7</v>
      </c>
      <c r="J32" s="153">
        <f t="shared" si="3"/>
        <v>8</v>
      </c>
      <c r="K32" s="155">
        <f t="shared" si="3"/>
        <v>9</v>
      </c>
    </row>
    <row r="33" spans="1:11" x14ac:dyDescent="0.3">
      <c r="A33" s="396" t="s">
        <v>80</v>
      </c>
      <c r="B33" s="136">
        <f>B6</f>
        <v>0</v>
      </c>
      <c r="C33" s="136">
        <f>C6</f>
        <v>0</v>
      </c>
      <c r="D33" s="136">
        <f>D6</f>
        <v>0</v>
      </c>
      <c r="E33" s="137">
        <f>E6</f>
        <v>0</v>
      </c>
      <c r="F33" s="135">
        <f t="shared" ref="F33:K33" si="4">F6+B26</f>
        <v>0</v>
      </c>
      <c r="G33" s="136">
        <f>G6+C26</f>
        <v>0</v>
      </c>
      <c r="H33" s="136">
        <f t="shared" si="4"/>
        <v>0</v>
      </c>
      <c r="I33" s="136">
        <f t="shared" si="4"/>
        <v>0</v>
      </c>
      <c r="J33" s="136">
        <f t="shared" si="4"/>
        <v>0</v>
      </c>
      <c r="K33" s="137">
        <f t="shared" si="4"/>
        <v>0</v>
      </c>
    </row>
    <row r="34" spans="1:11" ht="17.25" thickBot="1" x14ac:dyDescent="0.35">
      <c r="A34" s="401" t="s">
        <v>81</v>
      </c>
      <c r="B34" s="282"/>
      <c r="C34" s="282"/>
      <c r="D34" s="282"/>
      <c r="E34" s="283"/>
      <c r="F34" s="182">
        <f t="shared" ref="F34:K34" si="5">B26</f>
        <v>0</v>
      </c>
      <c r="G34" s="183">
        <f t="shared" si="5"/>
        <v>0</v>
      </c>
      <c r="H34" s="183">
        <f t="shared" si="5"/>
        <v>0</v>
      </c>
      <c r="I34" s="183">
        <f t="shared" si="5"/>
        <v>0</v>
      </c>
      <c r="J34" s="183">
        <f t="shared" si="5"/>
        <v>0</v>
      </c>
      <c r="K34" s="184">
        <f t="shared" si="5"/>
        <v>0</v>
      </c>
    </row>
    <row r="35" spans="1:11" x14ac:dyDescent="0.3">
      <c r="A35" s="397" t="s">
        <v>64</v>
      </c>
      <c r="B35" s="138">
        <f>B7</f>
        <v>0</v>
      </c>
      <c r="C35" s="138">
        <f>C7</f>
        <v>0</v>
      </c>
      <c r="D35" s="138">
        <f>D7</f>
        <v>0</v>
      </c>
      <c r="E35" s="186">
        <f>E7</f>
        <v>0</v>
      </c>
      <c r="F35" s="185">
        <f t="shared" ref="F35:K35" si="6">F7+B27</f>
        <v>0</v>
      </c>
      <c r="G35" s="138">
        <f t="shared" si="6"/>
        <v>0</v>
      </c>
      <c r="H35" s="138">
        <f t="shared" si="6"/>
        <v>0</v>
      </c>
      <c r="I35" s="138">
        <f t="shared" si="6"/>
        <v>0</v>
      </c>
      <c r="J35" s="138">
        <f t="shared" si="6"/>
        <v>0</v>
      </c>
      <c r="K35" s="186">
        <f t="shared" si="6"/>
        <v>0</v>
      </c>
    </row>
    <row r="36" spans="1:11" ht="17.25" thickBot="1" x14ac:dyDescent="0.35">
      <c r="A36" s="400" t="s">
        <v>81</v>
      </c>
      <c r="B36" s="284"/>
      <c r="C36" s="284"/>
      <c r="D36" s="284"/>
      <c r="E36" s="285"/>
      <c r="F36" s="139">
        <f t="shared" ref="F36:K36" si="7">B27</f>
        <v>0</v>
      </c>
      <c r="G36" s="140">
        <f t="shared" si="7"/>
        <v>0</v>
      </c>
      <c r="H36" s="140">
        <f t="shared" si="7"/>
        <v>0</v>
      </c>
      <c r="I36" s="140">
        <f t="shared" si="7"/>
        <v>0</v>
      </c>
      <c r="J36" s="140">
        <f t="shared" si="7"/>
        <v>0</v>
      </c>
      <c r="K36" s="141">
        <f t="shared" si="7"/>
        <v>0</v>
      </c>
    </row>
    <row r="37" spans="1:11" x14ac:dyDescent="0.3">
      <c r="A37" s="423"/>
      <c r="B37" s="415"/>
      <c r="C37" s="415"/>
      <c r="D37" s="415"/>
      <c r="E37" s="415"/>
      <c r="F37" s="415"/>
      <c r="G37" s="415"/>
      <c r="H37" s="415"/>
      <c r="I37" s="415"/>
      <c r="J37" s="415"/>
      <c r="K37" s="422"/>
    </row>
    <row r="38" spans="1:11" ht="18" thickBot="1" x14ac:dyDescent="0.35">
      <c r="A38" s="540" t="s">
        <v>131</v>
      </c>
      <c r="B38" s="541"/>
      <c r="C38" s="541"/>
      <c r="D38" s="541"/>
      <c r="E38" s="541"/>
      <c r="F38" s="541"/>
      <c r="G38" s="541"/>
      <c r="H38" s="541"/>
      <c r="I38" s="541"/>
      <c r="J38" s="541"/>
      <c r="K38" s="542"/>
    </row>
    <row r="39" spans="1:11" x14ac:dyDescent="0.3">
      <c r="A39" s="329" t="s">
        <v>82</v>
      </c>
      <c r="B39" s="330">
        <f>B32</f>
        <v>0</v>
      </c>
      <c r="C39" s="330">
        <f t="shared" ref="C39:K39" si="8">B39+1</f>
        <v>1</v>
      </c>
      <c r="D39" s="330">
        <f t="shared" si="8"/>
        <v>2</v>
      </c>
      <c r="E39" s="331">
        <f t="shared" si="8"/>
        <v>3</v>
      </c>
      <c r="F39" s="332">
        <f t="shared" si="8"/>
        <v>4</v>
      </c>
      <c r="G39" s="330">
        <f t="shared" si="8"/>
        <v>5</v>
      </c>
      <c r="H39" s="330">
        <f t="shared" si="8"/>
        <v>6</v>
      </c>
      <c r="I39" s="330">
        <f t="shared" si="8"/>
        <v>7</v>
      </c>
      <c r="J39" s="330">
        <f t="shared" si="8"/>
        <v>8</v>
      </c>
      <c r="K39" s="331">
        <f t="shared" si="8"/>
        <v>9</v>
      </c>
    </row>
    <row r="40" spans="1:11" x14ac:dyDescent="0.3">
      <c r="A40" s="398" t="s">
        <v>83</v>
      </c>
      <c r="B40" s="292">
        <f>'4-Section d''Investissement'!B38</f>
        <v>0</v>
      </c>
      <c r="C40" s="292">
        <f>'4-Section d''Investissement'!C38</f>
        <v>0</v>
      </c>
      <c r="D40" s="292">
        <f>'4-Section d''Investissement'!D38</f>
        <v>0</v>
      </c>
      <c r="E40" s="293">
        <f>'4-Section d''Investissement'!E38</f>
        <v>0</v>
      </c>
      <c r="F40" s="179"/>
      <c r="G40" s="180"/>
      <c r="H40" s="180"/>
      <c r="I40" s="180"/>
      <c r="J40" s="180"/>
      <c r="K40" s="181"/>
    </row>
    <row r="41" spans="1:11" x14ac:dyDescent="0.3">
      <c r="A41" s="399" t="s">
        <v>80</v>
      </c>
      <c r="B41" s="294">
        <f>B6</f>
        <v>0</v>
      </c>
      <c r="C41" s="294">
        <f>C6</f>
        <v>0</v>
      </c>
      <c r="D41" s="294">
        <f>D6</f>
        <v>0</v>
      </c>
      <c r="E41" s="295">
        <f>E6</f>
        <v>0</v>
      </c>
      <c r="F41" s="385">
        <f t="shared" ref="F41:K41" si="9">F6+F42</f>
        <v>0</v>
      </c>
      <c r="G41" s="294">
        <f t="shared" si="9"/>
        <v>0</v>
      </c>
      <c r="H41" s="294">
        <f t="shared" si="9"/>
        <v>0</v>
      </c>
      <c r="I41" s="294">
        <f t="shared" si="9"/>
        <v>0</v>
      </c>
      <c r="J41" s="294">
        <f t="shared" si="9"/>
        <v>0</v>
      </c>
      <c r="K41" s="295">
        <f t="shared" si="9"/>
        <v>0</v>
      </c>
    </row>
    <row r="42" spans="1:11" ht="17.25" thickBot="1" x14ac:dyDescent="0.35">
      <c r="A42" s="401" t="s">
        <v>81</v>
      </c>
      <c r="B42" s="282"/>
      <c r="C42" s="282"/>
      <c r="D42" s="282"/>
      <c r="E42" s="283"/>
      <c r="F42" s="286"/>
      <c r="G42" s="287"/>
      <c r="H42" s="287"/>
      <c r="I42" s="287"/>
      <c r="J42" s="287"/>
      <c r="K42" s="288"/>
    </row>
    <row r="43" spans="1:11" x14ac:dyDescent="0.3">
      <c r="A43" s="397" t="s">
        <v>64</v>
      </c>
      <c r="B43" s="138">
        <f>B7</f>
        <v>0</v>
      </c>
      <c r="C43" s="138">
        <f>C7</f>
        <v>0</v>
      </c>
      <c r="D43" s="138">
        <f>D7</f>
        <v>0</v>
      </c>
      <c r="E43" s="186">
        <f>E7</f>
        <v>0</v>
      </c>
      <c r="F43" s="185">
        <f t="shared" ref="F43:K43" si="10">F7+F44</f>
        <v>0</v>
      </c>
      <c r="G43" s="138">
        <f t="shared" si="10"/>
        <v>0</v>
      </c>
      <c r="H43" s="138">
        <f t="shared" si="10"/>
        <v>0</v>
      </c>
      <c r="I43" s="138">
        <f t="shared" si="10"/>
        <v>0</v>
      </c>
      <c r="J43" s="138">
        <f t="shared" si="10"/>
        <v>0</v>
      </c>
      <c r="K43" s="186">
        <f t="shared" si="10"/>
        <v>0</v>
      </c>
    </row>
    <row r="44" spans="1:11" ht="17.25" thickBot="1" x14ac:dyDescent="0.35">
      <c r="A44" s="400" t="s">
        <v>81</v>
      </c>
      <c r="B44" s="284"/>
      <c r="C44" s="284"/>
      <c r="D44" s="284"/>
      <c r="E44" s="285"/>
      <c r="F44" s="289"/>
      <c r="G44" s="290"/>
      <c r="H44" s="290"/>
      <c r="I44" s="290"/>
      <c r="J44" s="290"/>
      <c r="K44" s="291"/>
    </row>
    <row r="45" spans="1:11" ht="33" customHeight="1" x14ac:dyDescent="0.3"/>
    <row r="46" spans="1:11" ht="17.25" hidden="1" customHeight="1" thickBot="1" x14ac:dyDescent="0.35">
      <c r="A46" s="1" t="s">
        <v>78</v>
      </c>
    </row>
    <row r="47" spans="1:11" ht="17.25" hidden="1" customHeight="1" thickBot="1" x14ac:dyDescent="0.35">
      <c r="A47" s="1" t="s">
        <v>84</v>
      </c>
      <c r="F47" s="6">
        <f>F39</f>
        <v>4</v>
      </c>
      <c r="G47" s="4">
        <f>F47+1</f>
        <v>5</v>
      </c>
      <c r="H47" s="4">
        <f>G47+1</f>
        <v>6</v>
      </c>
      <c r="I47" s="4">
        <f>H47+1</f>
        <v>7</v>
      </c>
      <c r="J47" s="4">
        <f>I47+1</f>
        <v>8</v>
      </c>
      <c r="K47" s="5">
        <f>J47+1</f>
        <v>9</v>
      </c>
    </row>
    <row r="48" spans="1:11" hidden="1" x14ac:dyDescent="0.3">
      <c r="D48" s="14" t="s">
        <v>85</v>
      </c>
      <c r="E48" s="17"/>
      <c r="F48" s="23">
        <f>SUMIFS(F14,$B$29,$A$46)+SUMIFS(F40,$B$29,$A$47)</f>
        <v>0</v>
      </c>
      <c r="G48" s="23">
        <f>SUMIFS(G14,$B$29,$A$46)++SUMIFS(G40,$B$29,$A$47)</f>
        <v>0</v>
      </c>
      <c r="H48" s="23">
        <f>SUMIFS(H14,$B$29,$A$46)++SUMIFS(H40,$B$29,$A$47)</f>
        <v>0</v>
      </c>
      <c r="I48" s="23">
        <f>SUMIFS(I14,$B$29,$A$46)++SUMIFS(I40,$B$29,$A$47)</f>
        <v>0</v>
      </c>
      <c r="J48" s="23">
        <f>SUMIFS(J14,$B$29,$A$46)++SUMIFS(J40,$B$29,$A$47)</f>
        <v>0</v>
      </c>
      <c r="K48" s="24">
        <f>SUMIFS(K14,$B$29,$A$46)++SUMIFS(K40,$B$29,$A$47)</f>
        <v>0</v>
      </c>
    </row>
    <row r="49" spans="4:11" hidden="1" x14ac:dyDescent="0.3">
      <c r="D49" s="15" t="s">
        <v>86</v>
      </c>
      <c r="E49" s="18"/>
      <c r="F49" s="25">
        <f t="shared" ref="F49:K49" si="11">SUMIFS(F33,$B$29,$A$46)+SUMIFS(F41,$B$29,$A$47)</f>
        <v>0</v>
      </c>
      <c r="G49" s="25">
        <f t="shared" si="11"/>
        <v>0</v>
      </c>
      <c r="H49" s="25">
        <f t="shared" si="11"/>
        <v>0</v>
      </c>
      <c r="I49" s="25">
        <f t="shared" si="11"/>
        <v>0</v>
      </c>
      <c r="J49" s="25">
        <f t="shared" si="11"/>
        <v>0</v>
      </c>
      <c r="K49" s="26">
        <f t="shared" si="11"/>
        <v>0</v>
      </c>
    </row>
    <row r="50" spans="4:11" ht="17.25" hidden="1" thickBot="1" x14ac:dyDescent="0.35">
      <c r="D50" s="16" t="s">
        <v>87</v>
      </c>
      <c r="E50" s="19"/>
      <c r="F50" s="27">
        <f t="shared" ref="F50:K50" si="12">SUMIFS(F35,$B$29,$A$46)++SUMIFS(F43,$B$29,$A$47)</f>
        <v>0</v>
      </c>
      <c r="G50" s="27">
        <f t="shared" si="12"/>
        <v>0</v>
      </c>
      <c r="H50" s="27">
        <f t="shared" si="12"/>
        <v>0</v>
      </c>
      <c r="I50" s="27">
        <f t="shared" si="12"/>
        <v>0</v>
      </c>
      <c r="J50" s="27">
        <f t="shared" si="12"/>
        <v>0</v>
      </c>
      <c r="K50" s="28">
        <f t="shared" si="12"/>
        <v>0</v>
      </c>
    </row>
    <row r="51" spans="4:11" hidden="1" x14ac:dyDescent="0.3"/>
  </sheetData>
  <sheetProtection algorithmName="SHA-512" hashValue="vLZ7cqHkxjEa4e+1hQ4AyQem5l038V3G9KO8fvXIoNjJya6ybSOrJa0lNin+U0LvMsVezU0gt4JgV3Ehf/1B0g==" saltValue="8+LqAv7KQdb7FOhyxeCzUg==" spinCount="100000" sheet="1" objects="1" scenarios="1" formatRows="0"/>
  <mergeCells count="9">
    <mergeCell ref="A1:K1"/>
    <mergeCell ref="B9:E16"/>
    <mergeCell ref="A38:K38"/>
    <mergeCell ref="A31:K31"/>
    <mergeCell ref="B4:E4"/>
    <mergeCell ref="F4:K4"/>
    <mergeCell ref="A2:J2"/>
    <mergeCell ref="A18:F18"/>
    <mergeCell ref="B29:C29"/>
  </mergeCells>
  <conditionalFormatting sqref="B29">
    <cfRule type="containsText" dxfId="1" priority="1" operator="containsText" text="Saisie manuelle">
      <formula>NOT(ISERROR(SEARCH("Saisie manuelle",B29)))</formula>
    </cfRule>
    <cfRule type="containsText" dxfId="0" priority="2" operator="containsText" text="Saisie automatique">
      <formula>NOT(ISERROR(SEARCH("Saisie automatique",B29)))</formula>
    </cfRule>
  </conditionalFormatting>
  <dataValidations count="1">
    <dataValidation type="list" allowBlank="1" showInputMessage="1" showErrorMessage="1" sqref="B45 B29" xr:uid="{CA5BA989-8613-4A02-811A-00B4DF3FD857}">
      <formula1>$A$46:$A$47</formula1>
    </dataValidation>
  </dataValidations>
  <pageMargins left="0.25" right="0.25"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0051-8A93-463A-BC4D-ECE74979FCCE}">
  <sheetPr codeName="Feuil6"/>
  <dimension ref="A1:J50"/>
  <sheetViews>
    <sheetView zoomScale="90" zoomScaleNormal="90" workbookViewId="0">
      <selection activeCell="A47" sqref="A47:D47"/>
    </sheetView>
  </sheetViews>
  <sheetFormatPr baseColWidth="10" defaultColWidth="11.5703125" defaultRowHeight="16.5" x14ac:dyDescent="0.3"/>
  <cols>
    <col min="1" max="1" width="34.140625" style="93" bestFit="1" customWidth="1"/>
    <col min="2" max="2" width="11.42578125" style="93" customWidth="1"/>
    <col min="3" max="3" width="25.140625" style="93" customWidth="1"/>
    <col min="4" max="4" width="27.5703125" style="93" customWidth="1"/>
    <col min="5" max="5" width="24.28515625" style="93" customWidth="1"/>
    <col min="6" max="16384" width="11.5703125" style="93"/>
  </cols>
  <sheetData>
    <row r="1" spans="1:5" ht="18.75" x14ac:dyDescent="0.35">
      <c r="A1" s="596" t="str">
        <f>"RAPPORT D'ANALYSE / " &amp;'1-Informations-paramètres '!C7</f>
        <v xml:space="preserve">RAPPORT D'ANALYSE / </v>
      </c>
      <c r="B1" s="596"/>
      <c r="C1" s="596"/>
      <c r="D1" s="596"/>
    </row>
    <row r="2" spans="1:5" hidden="1" x14ac:dyDescent="0.3">
      <c r="A2" s="119" t="s">
        <v>88</v>
      </c>
      <c r="B2" s="119" t="s">
        <v>93</v>
      </c>
    </row>
    <row r="3" spans="1:5" hidden="1" x14ac:dyDescent="0.3">
      <c r="A3" s="124" t="str">
        <f>'1-Informations-paramètres '!C10</f>
        <v>en milliers d'euros</v>
      </c>
      <c r="B3" s="148" t="str">
        <f>IF(A3="en milliers d'euros","K€",
   IF(A3="en euros","euros",
     IF(A3="en millions d'euros","M€","")
   )
)</f>
        <v>K€</v>
      </c>
    </row>
    <row r="4" spans="1:5" hidden="1" x14ac:dyDescent="0.3">
      <c r="A4" s="124" t="s">
        <v>91</v>
      </c>
      <c r="B4" s="149">
        <f>'1-Informations-paramètres '!C15-'4-Section d''Investissement'!E52</f>
        <v>0</v>
      </c>
    </row>
    <row r="5" spans="1:5" x14ac:dyDescent="0.3">
      <c r="A5" s="353"/>
      <c r="B5" s="354"/>
    </row>
    <row r="6" spans="1:5" ht="2.25" hidden="1" customHeight="1" x14ac:dyDescent="0.3">
      <c r="A6" s="600" t="str">
        <f>"Les montants ci-dessous sont exprimés " &amp; '1-Informations-paramètres '!C10 &amp;"."</f>
        <v>Les montants ci-dessous sont exprimés en milliers d'euros.</v>
      </c>
      <c r="B6" s="600"/>
      <c r="C6" s="600"/>
      <c r="D6" s="600"/>
    </row>
    <row r="7" spans="1:5" ht="22.5" customHeight="1" x14ac:dyDescent="0.3">
      <c r="A7" s="604" t="str">
        <f>"SANTE FINANCIERE AU 31/12/" &amp;'2-Section de Fonctionnement'!F9 &amp;" (RETROSPECTIVE)"</f>
        <v>SANTE FINANCIERE AU 31/12/3 (RETROSPECTIVE)</v>
      </c>
      <c r="B7" s="605"/>
      <c r="C7" s="605"/>
      <c r="D7" s="606"/>
    </row>
    <row r="8" spans="1:5" ht="17.25" thickBot="1" x14ac:dyDescent="0.35">
      <c r="A8" s="563" t="str">
        <f>"Les données présentées concernent la période du 01/01/" &amp;'2-Section de Fonctionnement'!C9 &amp;" au 31/12/" &amp;'2-Section de Fonctionnement'!F9 &amp;"."</f>
        <v>Les données présentées concernent la période du 01/01/0 au 31/12/3.</v>
      </c>
      <c r="B8" s="564"/>
      <c r="C8" s="564"/>
      <c r="D8" s="565"/>
    </row>
    <row r="9" spans="1:5" ht="22.5" customHeight="1" x14ac:dyDescent="0.3">
      <c r="A9" s="597" t="s">
        <v>89</v>
      </c>
      <c r="B9" s="598"/>
      <c r="C9" s="598"/>
      <c r="D9" s="599"/>
    </row>
    <row r="10" spans="1:5" s="95" customFormat="1" ht="34.5" customHeight="1" x14ac:dyDescent="0.3">
      <c r="A10" s="554" t="str">
        <f>IFERROR("En " &amp;'2-Section de Fonctionnement'!F9 &amp;", les dépenses réelles de fonctionnement atteignent " &amp;TEXT('2-Section de Fonctionnement'!F10,"# ##0") &amp;B3 &amp;" et les recettes " &amp;TEXT('2-Section de Fonctionnement'!F29,"# ##0") &amp;B3 &amp;".", "Complétez conformément toutes les données nécessaires des onglets précédents afin de pouvoir éditer l'ensemble des éléments du rapport")</f>
        <v>En 3, les dépenses réelles de fonctionnement atteignent 0K€ et les recettes 0K€.</v>
      </c>
      <c r="B10" s="555"/>
      <c r="C10" s="555"/>
      <c r="D10" s="556"/>
    </row>
    <row r="11" spans="1:5" s="95" customFormat="1" ht="20.25" customHeight="1" x14ac:dyDescent="0.3">
      <c r="A11" s="554" t="str">
        <f>IFERROR("La section de fonctionnement dégage un autofinancement récurrent de "&amp;TEXT('2-Section de Fonctionnement'!F48,"# ##0")&amp;B3&amp;".","Complétez conformément toutes les données nécessaires des onglets précédents afin de pouvoir éditer l'ensemble des éléments du rapport")</f>
        <v>La section de fonctionnement dégage un autofinancement récurrent de 0K€.</v>
      </c>
      <c r="B11" s="555"/>
      <c r="C11" s="555"/>
      <c r="D11" s="556"/>
    </row>
    <row r="12" spans="1:5" s="95" customFormat="1" ht="63.75" customHeight="1" x14ac:dyDescent="0.3">
      <c r="A12" s="554" t="str">
        <f>IFERROR(
  "Après remboursement des échéances de la dette, l'autofinancement net (épargne nette), atteint " &amp;
  TEXT('2-Section de Fonctionnement'!F49,"# ##0") &amp;
  B3 &amp; "." &amp;
  IF('2-Section de Fonctionnement'!F49&gt;0,
     " La collectivité dispose donc d'une marge de manœuvre suffisante pour répondre au remboursement de sa dette.",
     IF('2-Section de Fonctionnement'!F49&lt;0,
        " L'autofinancement net est négatif, l'équilibre financier n'est pas atteint. La situation est ainsi préoccupante.",
        ""
     )
  ),
  "Complétez conformément toutes les données nécessaires des onglets précédents afin de pouvoir éditer l'ensemble des éléments du rapport"
)</f>
        <v>Après remboursement des échéances de la dette, l'autofinancement net (épargne nette), atteint 0K€.</v>
      </c>
      <c r="B12" s="555"/>
      <c r="C12" s="555"/>
      <c r="D12" s="556"/>
      <c r="E12" s="120"/>
    </row>
    <row r="13" spans="1:5" ht="50.1" customHeight="1" x14ac:dyDescent="0.3">
      <c r="A13" s="554" t="str">
        <f>IFERROR(IF('2-Section de Fonctionnement'!F48&gt;='2-Section de Fonctionnement'!C48,"L'évolution des recettes récurrentes de fonctionnement a été plus importante que celle des dépenses, sur la période.","L'évolution (en %) des dépenses récurrentes de fonctionnement a été plus importante que celle des recettes, sur la période.") &amp;" Les dépenses ont évolué de " &amp;TEXT('2-Section de Fonctionnement'!F10-'2-Section de Fonctionnement'!C10,"# ##0") &amp;B3 &amp;". Les recettes ont évolué de " &amp;TEXT('2-Section de Fonctionnement'!F29-'2-Section de Fonctionnement'!C29,"# ##0") &amp;B3 &amp;".","Complétez conformément toutes les données nécessaires des onglets précédents afin de pouvoir éditer l'ensemble des éléments du rapport")</f>
        <v>L'évolution des recettes récurrentes de fonctionnement a été plus importante que celle des dépenses, sur la période. Les dépenses ont évolué de 0K€. Les recettes ont évolué de 0K€.</v>
      </c>
      <c r="B13" s="555"/>
      <c r="C13" s="555"/>
      <c r="D13" s="556"/>
      <c r="E13" s="333"/>
    </row>
    <row r="14" spans="1:5" ht="55.5" customHeight="1" x14ac:dyDescent="0.3">
      <c r="A14" s="554" t="str">
        <f>IFERROR(
  "Le taux d'épargne brute (ratio entre l'autofinancement et les recettes réelles de fonctionnement) est de " &amp;
  TEXT('2-Section de Fonctionnement'!F51*100,"0,0") &amp; "% " &amp;
  IF('2-Section de Fonctionnement'!F51&lt;0,
     "Ce taux est critique et négatif. Il est nécessaire de dégager une marge de manœuvre de " &amp;
     TEXT((SUMIFS('2-Section de Fonctionnement'!F30:F43,'2-Section de Fonctionnement'!$B$30:$B$43,"Oui"))*0.1-'2-Section de Fonctionnement'!F47,"0") &amp;
     B3 &amp; " pour atteindre un taux d'épargne de 10%.",
     IF('2-Section de Fonctionnement'!F51&lt;10%,
        "Ce taux est trop juste. Il est nécessaire de dégager une marge de manœuvre de " &amp;
        TEXT((SUMIFS('2-Section de Fonctionnement'!F30:F43,'2-Section de Fonctionnement'!$B$30:$B$43,"Oui"))*0.1-'2-Section de Fonctionnement'!F47,"0") &amp;
        B3 &amp; " pour atteindre un taux d'épargne de 10%.",
        ". Ce taux est satisfaisant."
     )
  ),
  "Complétez conformément toutes les données nécessaires des onglets précédents afin de pouvoir éditer l'ensemble des éléments du rapport"
)</f>
        <v>Le taux d'épargne brute (ratio entre l'autofinancement et les recettes réelles de fonctionnement) est de 0,0% Ce taux est trop juste. Il est nécessaire de dégager une marge de manœuvre de 0K€ pour atteindre un taux d'épargne de 10%.</v>
      </c>
      <c r="B14" s="555"/>
      <c r="C14" s="555"/>
      <c r="D14" s="556"/>
      <c r="E14" s="145"/>
    </row>
    <row r="15" spans="1:5" ht="41.25" customHeight="1" x14ac:dyDescent="0.3">
      <c r="A15" s="601" t="str">
        <f>"Le fait d'avoir un taux d'épargne suppérieur à 10% permet à la collectivité d'envisager de développer des projets ou services"</f>
        <v>Le fait d'avoir un taux d'épargne suppérieur à 10% permet à la collectivité d'envisager de développer des projets ou services</v>
      </c>
      <c r="B15" s="602"/>
      <c r="C15" s="602"/>
      <c r="D15" s="603"/>
      <c r="E15" s="338"/>
    </row>
    <row r="16" spans="1:5" ht="75" customHeight="1" x14ac:dyDescent="0.3">
      <c r="A16" s="572" t="str">
        <f>IFERROR("Les trois postes de dépenses les plus importants sont : 
1) "&amp;INDEX('2-Section de Fonctionnement'!A11:A26,MATCH(LARGE('2-Section de Fonctionnement'!F11:F26,1),'2-Section de Fonctionnement'!F11:F26,0))&amp;" "&amp;TEXT(LARGE('2-Section de Fonctionnement'!F11:F26,1),"# ##0")&amp;B3 &amp;", 
2) "&amp;INDEX('2-Section de Fonctionnement'!A11:A26,MATCH(LARGE('2-Section de Fonctionnement'!F11:F26,2),'2-Section de Fonctionnement'!F11:F26,0))&amp;" "&amp;TEXT(LARGE('2-Section de Fonctionnement'!F11:F26,2),"# ##0")&amp;B3 &amp;", 
3) "&amp;INDEX('2-Section de Fonctionnement'!A11:A26,MATCH(LARGE('2-Section de Fonctionnement'!F11:F26,3),'2-Section de Fonctionnement'!F11:F26,0))&amp;" "&amp;TEXT(LARGE('2-Section de Fonctionnement'!F11:F26,3),"# ##0")&amp;B3 &amp;". ","Complétez conformément toutes les données nécessaires des onglets précédents afin de pouvoir éditer l'ensemble des éléments du rapport")</f>
        <v>Complétez conformément toutes les données nécessaires des onglets précédents afin de pouvoir éditer l'ensemble des éléments du rapport</v>
      </c>
      <c r="B16" s="573"/>
      <c r="C16" s="573"/>
      <c r="D16" s="574"/>
    </row>
    <row r="17" spans="1:6" ht="74.25" customHeight="1" x14ac:dyDescent="0.3">
      <c r="A17" s="554" t="str">
        <f>IFERROR("Les trois postes de dépenses ayant le plus évolué sont "&amp;" les 
1) "&amp;INDEX('2-Section de Fonctionnement'!A11:A26,MATCH(LARGE('2-Section de Fonctionnement'!O11:O26,1),'2-Section de Fonctionnement'!O11:O26,0))&amp;" "&amp;TEXT(LARGE('2-Section de Fonctionnement'!O11:O26,1),"0,0%") &amp;", "&amp;"
2) "&amp;INDEX('2-Section de Fonctionnement'!A11:A26,MATCH(LARGE('2-Section de Fonctionnement'!O11:O26,2),'2-Section de Fonctionnement'!O11:O26,0))&amp;" "&amp;TEXT(LARGE('2-Section de Fonctionnement'!O11:O26,2),"0,0%") &amp;",
3) "&amp;INDEX('2-Section de Fonctionnement'!A11:A26,MATCH(LARGE('2-Section de Fonctionnement'!O11:O26,3),'2-Section de Fonctionnement'!O11:O26,0))&amp;" "&amp;TEXT(LARGE('2-Section de Fonctionnement'!O11:O26,3),"0,0%") &amp;". ","Complétez conformément toutes les données nécessaires des onglets précédents afin de pouvoir éditer l'ensemble des éléments du rapport")</f>
        <v xml:space="preserve">Les trois postes de dépenses ayant le plus évolué sont  les 
1) Charges de personnel 0,0%, 
2) Charges de personnel 0,0%,
3) Charges de personnel 0,0%. </v>
      </c>
      <c r="B17" s="555"/>
      <c r="C17" s="555"/>
      <c r="D17" s="556"/>
      <c r="E17" s="333"/>
      <c r="F17" s="334"/>
    </row>
    <row r="18" spans="1:6" ht="75" customHeight="1" x14ac:dyDescent="0.3">
      <c r="A18" s="572" t="str">
        <f>IFERROR("Les trois postes de recettes les plus importants sont : 
1) le produit de " &amp; INDEX('2-Section de Fonctionnement'!A30:A44,MATCH(LARGE('2-Section de Fonctionnement'!F30:F44,1),'2-Section de Fonctionnement'!F30:F44,0)) &amp; " " &amp; TEXT(LARGE('2-Section de Fonctionnement'!F30:F44,1),"# ##0") &amp; B3 &amp; ", 
2) le produit de " &amp; INDEX('2-Section de Fonctionnement'!A30:A44,MATCH(LARGE('2-Section de Fonctionnement'!F30:F44,2),'2-Section de Fonctionnement'!F30:F44,0)) &amp; " " &amp; TEXT(LARGE('2-Section de Fonctionnement'!F30:F44,2),"# ##0") &amp; B3 &amp; ", 
3) le produit de " &amp; INDEX('2-Section de Fonctionnement'!A30:A44,MATCH(LARGE('2-Section de Fonctionnement'!F30:F44,3),'2-Section de Fonctionnement'!F30:F44,0)) &amp; " " &amp; TEXT(LARGE('2-Section de Fonctionnement'!F30:F44,3),"# ##0") &amp; B3 &amp; ".","Complétez conformément toutes les données nécessaires des onglets précédents afin de pouvoir éditer l'ensemble des éléments du rapport")</f>
        <v>Complétez conformément toutes les données nécessaires des onglets précédents afin de pouvoir éditer l'ensemble des éléments du rapport</v>
      </c>
      <c r="B18" s="573"/>
      <c r="C18" s="573"/>
      <c r="D18" s="574"/>
      <c r="E18" s="333"/>
    </row>
    <row r="19" spans="1:6" ht="75.75" customHeight="1" thickBot="1" x14ac:dyDescent="0.35">
      <c r="A19" s="557" t="str">
        <f>IFERROR("Les trois postes de recette ayant le plus évolué sont : 
1) " &amp; INDEX('2-Section de Fonctionnement'!A30:A44,MATCH(LARGE('2-Section de Fonctionnement'!O30:O44,1),'2-Section de Fonctionnement'!O30:O44,0)) &amp; " " &amp; TEXT(LARGE('2-Section de Fonctionnement'!O30:O44,1),"0,0%") &amp; ", 
2) " &amp; INDEX('2-Section de Fonctionnement'!A30:A44,MATCH(LARGE('2-Section de Fonctionnement'!O30:O44,2),'2-Section de Fonctionnement'!O30:O44,0)) &amp; " " &amp; TEXT(LARGE('2-Section de Fonctionnement'!O30:O44,2),"0,0%") &amp; ", 
3) " &amp; INDEX('2-Section de Fonctionnement'!A30:A44,MATCH(LARGE('2-Section de Fonctionnement'!O30:O44,3),'2-Section de Fonctionnement'!O30:O44,0)) &amp; " " &amp; TEXT(LARGE('2-Section de Fonctionnement'!O30:O44,3),"0,0%") &amp; ".","Complétez conformément toutes les données nécessaires des onglets précédents afin de pouvoir éditer l'ensemble des éléments du rapport")</f>
        <v>Les trois postes de recette ayant le plus évolué sont : 
1)  0,0%, 
2)  0,0%, 
3)  0,0%.</v>
      </c>
      <c r="B19" s="558"/>
      <c r="C19" s="558"/>
      <c r="D19" s="559"/>
      <c r="E19" s="122"/>
    </row>
    <row r="20" spans="1:6" ht="28.9" customHeight="1" x14ac:dyDescent="0.3">
      <c r="A20" s="597" t="s">
        <v>90</v>
      </c>
      <c r="B20" s="598"/>
      <c r="C20" s="598"/>
      <c r="D20" s="599"/>
      <c r="E20" s="121"/>
    </row>
    <row r="21" spans="1:6" ht="39" customHeight="1" x14ac:dyDescent="0.3">
      <c r="A21" s="566" t="str">
        <f>IFERROR("Les dépenses d'investissement (hors remboursement d'emprunt) s'élèvent à " &amp;TEXT(SUM('4-Section d''Investissement'!B15:E15)-SUM('4-Section d''Investissement'!B16:E16),"# ##0") &amp;B3 &amp;" sur la période " &amp;'2-Section de Fonctionnement'!C9 &amp;"/" &amp;'2-Section de Fonctionnement'!F9 &amp;".","Complétez conformément toutes les données nécessaires des onglets précédents afin de pouvoir éditer l'ensemble des éléments du rapport")</f>
        <v>Les dépenses d'investissement (hors remboursement d'emprunt) s'élèvent à 0K€ sur la période 0/3.</v>
      </c>
      <c r="B21" s="567"/>
      <c r="C21" s="567"/>
      <c r="D21" s="568"/>
      <c r="E21" s="144"/>
    </row>
    <row r="22" spans="1:6" ht="75.75" customHeight="1" x14ac:dyDescent="0.3">
      <c r="A22" s="554" t="str">
        <f>IFERROR(
  "L'encours de dette est de " &amp;
  TEXT('4-Section d''Investissement'!E52,"# ##0") &amp; B3 &amp; ". " &amp;
  IF(B4&lt;0,"Il a augmenté de ",
     IF(B4&gt;0,"Il a diminué de ",
        "")
  ) &amp;
  TEXT('4-Section d''Investissement'!E52 - '1-Informations-paramètres '!C15,"# ##0") &amp; B3 &amp; " sur la période. " &amp;
  "La Collectivité mettrait " &amp;
  TEXT('4-Section d''Investissement'!E55,"0,0") &amp;
  " années à rembourser sa dette si elle y consacrait la totalité de son autofinancement (capacité dynamique de désendettement). " &amp;
  IF('4-Section d''Investissement'!E55&lt;0,"Il s'agit d'une situation critique ; la collectivité ne dispose pas des moyens suffisants pour rembourser sa dette",
     IF('4-Section d''Investissement'!E55&lt;5,"Il s'agit d'une situation très satisfaisante",
        IF('4-Section d''Investissement'!E55&lt;8,"Il s'agit d'une situation qui reste conforme",
           IF('4-Section d''Investissement'!E55&lt;12,"Il s'agit d'une situation qui nécessite une vigilance particulière",
              IF('4-Section d''Investissement'!E55&lt;100,"La situation dépasse le seuil d'alerte",
                 "Le ratio de désendettement est anormalement élevé ou invalide."
              )
           )
        )
     )
  ) &amp; ".",
  "Complétez conformément toutes les données nécessaires des onglets précédents afin de pouvoir éditer l'ensemble des éléments du rapport"
)</f>
        <v>L'encours de dette est de 0K€. 0K€ sur la période. La Collectivité mettrait 0,0 années à rembourser sa dette si elle y consacrait la totalité de son autofinancement (capacité dynamique de désendettement). Il s'agit d'une situation très satisfaisante.</v>
      </c>
      <c r="B22" s="555"/>
      <c r="C22" s="555"/>
      <c r="D22" s="556"/>
      <c r="E22" s="122"/>
    </row>
    <row r="23" spans="1:6" ht="35.25" customHeight="1" x14ac:dyDescent="0.3">
      <c r="A23" s="569" t="str">
        <f>"Le seuil de vigilance pour cet indicateur est de 8 années de remboursement et le seuil de dangerosité est de 12 années."</f>
        <v>Le seuil de vigilance pour cet indicateur est de 8 années de remboursement et le seuil de dangerosité est de 12 années.</v>
      </c>
      <c r="B23" s="570"/>
      <c r="C23" s="570"/>
      <c r="D23" s="571"/>
    </row>
    <row r="24" spans="1:6" ht="28.5" customHeight="1" x14ac:dyDescent="0.3">
      <c r="A24" s="566" t="str">
        <f>IFERROR("L'encours de dette par habitant est de " &amp;TEXT('4-Section d''Investissement'!E54,"# ##0") &amp;B3 &amp;".","Complétez conformément toutes les données nécessaires des onglets précédents afin de pouvoir éditer l'ensemble des éléments du rapport")</f>
        <v>L'encours de dette par habitant est de 0K€.</v>
      </c>
      <c r="B24" s="567"/>
      <c r="C24" s="567"/>
      <c r="D24" s="568"/>
    </row>
    <row r="25" spans="1:6" ht="48" customHeight="1" thickBot="1" x14ac:dyDescent="0.35">
      <c r="A25" s="566" t="str">
        <f>IFERROR(
  "La collectivité dispose d'un fonds de roulement de " &amp;
  TEXT('4-Section d''Investissement'!E49,"# ##0") &amp; B3 &amp; ". " &amp;
  IF('4-Section d''Investissement'!E49&gt;('2-Section de Fonctionnement'!F10 - SUMIFS('2-Section de Fonctionnement'!F11:F25,'2-Section de Fonctionnement'!$B$11:$B$25,"Non"))/2,
    "Il est confortable, ce qui permet de faire face à l'équivalent de 6 mois de dépenses de fonctionnement.",
  IF('4-Section d''Investissement'!E49&gt;('2-Section de Fonctionnement'!F10 - SUMIFS('2-Section de Fonctionnement'!F11:F25,'2-Section de Fonctionnement'!$B$11:$B$25,"Non")),
    "Il est conséquent car il équivaut à une année entière de dépenses de fonctionnement.",
  IF('4-Section d''Investissement'!E49&gt;('2-Section de Fonctionnement'!F10 - SUMIFS('2-Section de Fonctionnement'!F11:F25,'2-Section de Fonctionnement'!$B$11:$B$25,"Non"))/3,
    "Il permet de financer au moins 4 mois de dépenses de fonctionnement de l'année. C'est une situation conforme mais peu confortable.",
  IF('4-Section d''Investissement'!E49&lt;0,
    "Il est négatif, illustrant une situation périlleuse nécessitant une vigilance sur la trésorerie et le recours à un financement externe.",
    "Le fonds de roulement ne représente que quelques mois de dépenses de fonctionnement. La situation n'est pas confortable et doit faire l'objet d'un suivi régulier."
  )))),
  "Complétez conformément toutes les données nécessaires des onglets précédents afin de pouvoir éditer l'ensemble des éléments du rapport"
)</f>
        <v>La collectivité dispose d'un fonds de roulement de 0K€. Le fonds de roulement ne représente que quelques mois de dépenses de fonctionnement. La situation n'est pas confortable et doit faire l'objet d'un suivi régulier.</v>
      </c>
      <c r="B25" s="567"/>
      <c r="C25" s="567"/>
      <c r="D25" s="568"/>
      <c r="E25" s="144"/>
    </row>
    <row r="26" spans="1:6" ht="29.25" customHeight="1" x14ac:dyDescent="0.3">
      <c r="A26" s="593" t="s">
        <v>112</v>
      </c>
      <c r="B26" s="594"/>
      <c r="C26" s="594"/>
      <c r="D26" s="595"/>
      <c r="E26" s="144"/>
    </row>
    <row r="27" spans="1:6" ht="114" customHeight="1" thickBot="1" x14ac:dyDescent="0.35">
      <c r="A27" s="590" t="s">
        <v>130</v>
      </c>
      <c r="B27" s="591"/>
      <c r="C27" s="591"/>
      <c r="D27" s="592"/>
      <c r="E27" s="144"/>
    </row>
    <row r="28" spans="1:6" ht="30.75" customHeight="1" thickBot="1" x14ac:dyDescent="0.35">
      <c r="A28" s="566"/>
      <c r="B28" s="567"/>
      <c r="C28" s="567"/>
      <c r="D28" s="568"/>
      <c r="E28" s="144"/>
    </row>
    <row r="29" spans="1:6" ht="33.6" hidden="1" customHeight="1" x14ac:dyDescent="0.3">
      <c r="A29" s="125">
        <f>'1-Informations-paramètres '!C50</f>
        <v>0</v>
      </c>
      <c r="B29" s="126">
        <f>'1-Informations-paramètres '!C49</f>
        <v>0</v>
      </c>
      <c r="E29" s="96"/>
      <c r="F29" s="96"/>
    </row>
    <row r="30" spans="1:6" hidden="1" x14ac:dyDescent="0.3">
      <c r="A30" s="147" t="s">
        <v>92</v>
      </c>
      <c r="B30" s="127" t="str">
        <f>TEXT(INDEX('4-Section d''Investissement'!B52:L52,MATCH(A29,'4-Section d''Investissement'!B14:L14,0))-INDEX('4-Section d''Investissement'!B52:L52,MATCH(B29,'4-Section d''Investissement'!B14:L14,0)),"# ##0")</f>
        <v>0</v>
      </c>
      <c r="E30" s="94"/>
    </row>
    <row r="31" spans="1:6" ht="17.25" hidden="1" thickBot="1" x14ac:dyDescent="0.35">
      <c r="A31" s="120"/>
      <c r="B31" s="120"/>
      <c r="C31" s="120"/>
      <c r="D31" s="120"/>
      <c r="E31" s="120"/>
    </row>
    <row r="32" spans="1:6" ht="24" customHeight="1" x14ac:dyDescent="0.3">
      <c r="A32" s="578" t="str">
        <f>"ANALYSE PERIODE " &amp;'1-Informations-paramètres '!C49&amp;"/"&amp;'1-Informations-paramètres '!C50&amp;" -- " &amp;'1-Informations-paramètres '!C7</f>
        <v xml:space="preserve">ANALYSE PERIODE / -- </v>
      </c>
      <c r="B32" s="579"/>
      <c r="C32" s="579"/>
      <c r="D32" s="580"/>
    </row>
    <row r="33" spans="1:10" ht="20.25" customHeight="1" x14ac:dyDescent="0.3">
      <c r="A33" s="584" t="str">
        <f>"Les données présentées concernent la période du 01/01/"&amp;'1-Informations-paramètres '!C49&amp;" au 31/12/"&amp;'1-Informations-paramètres '!C50&amp;"."</f>
        <v>Les données présentées concernent la période du 01/01/ au 31/12/.</v>
      </c>
      <c r="B33" s="585"/>
      <c r="C33" s="585"/>
      <c r="D33" s="586"/>
    </row>
    <row r="34" spans="1:10" ht="16.899999999999999" customHeight="1" x14ac:dyDescent="0.3">
      <c r="A34" s="581" t="s">
        <v>89</v>
      </c>
      <c r="B34" s="582"/>
      <c r="C34" s="582"/>
      <c r="D34" s="583"/>
    </row>
    <row r="35" spans="1:10" ht="34.5" customHeight="1" x14ac:dyDescent="0.3">
      <c r="A35" s="587" t="str">
        <f>IFERROR("En " &amp;'1-Informations-paramètres '!C50 &amp;", les dépenses réelles de fonctionnement atteignent " &amp;TEXT(INDEX('2-Section de Fonctionnement'!H10:M10,MATCH(A29,'2-Section de Fonctionnement'!H9:M9,0)),"# ##0") &amp;B3 &amp;" et les recettes " &amp;TEXT(INDEX('2-Section de Fonctionnement'!H29:M29,MATCH(A29,'2-Section de Fonctionnement'!H9:M9,0)),"# ##0") &amp;B3 &amp;".","Complétez conformément toutes les données nécessaires des onglets précédents afin de pouvoir éditer l'ensemble des éléments du rapport")</f>
        <v>Complétez conformément toutes les données nécessaires des onglets précédents afin de pouvoir éditer l'ensemble des éléments du rapport</v>
      </c>
      <c r="B35" s="588"/>
      <c r="C35" s="588"/>
      <c r="D35" s="589"/>
    </row>
    <row r="36" spans="1:10" ht="33" customHeight="1" x14ac:dyDescent="0.3">
      <c r="A36" s="554" t="str">
        <f>IFERROR("La section de fonctionnement dégage un autofinancement de " &amp;TEXT(INDEX('2-Section de Fonctionnement'!H47:M47,MATCH(A29,'2-Section de Fonctionnement'!H9:M9,0)),"# ##0") &amp;B3 &amp;".","Complétez conformément toutes les données nécessaires des onglets précédents afin de pouvoir éditer l'ensemble des éléments du rapport")</f>
        <v>Complétez conformément toutes les données nécessaires des onglets précédents afin de pouvoir éditer l'ensemble des éléments du rapport</v>
      </c>
      <c r="B36" s="555"/>
      <c r="C36" s="555"/>
      <c r="D36" s="556"/>
    </row>
    <row r="37" spans="1:10" ht="71.25" customHeight="1" x14ac:dyDescent="0.3">
      <c r="A37" s="554" t="str">
        <f>IFERROR(
  "Après remboursement des échéances de la dette, l'autofinancement net (épargne nette), atteint " &amp;
  TEXT(INDEX('2-Section de Fonctionnement'!I49:M49,MATCH(A29,'2-Section de Fonctionnement'!I9:M9,0)),"# ##0") &amp;
  B3 &amp; "." &amp;
  IF(INDEX('2-Section de Fonctionnement'!I49:M49,MATCH(A29,'2-Section de Fonctionnement'!I9:M9,0))&gt;0,
     " La collectivité dispose donc d'une marge de manœuvre suffisante pour répondre au remboursement de sa dette.",
     IF(INDEX('2-Section de Fonctionnement'!I49:M49,MATCH(A29,'2-Section de Fonctionnement'!I9:M9,0))&lt;0,
        " L'autofinancement net est négatif, l'équilibre financier n'est pas atteint. La situation est ainsi préoccupante.",
        ""
     )
  ),
  "Complétez conformément toutes les données nécessaires des onglets précédents afin de pouvoir éditer l'ensemble des éléments du rapport"
)</f>
        <v>Complétez conformément toutes les données nécessaires des onglets précédents afin de pouvoir éditer l'ensemble des éléments du rapport</v>
      </c>
      <c r="B37" s="555"/>
      <c r="C37" s="555"/>
      <c r="D37" s="556"/>
    </row>
    <row r="38" spans="1:10" ht="73.5" customHeight="1" x14ac:dyDescent="0.3">
      <c r="A38" s="554" t="str">
        <f>IFERROR(IF(INDEX('2-Section de Fonctionnement'!C48:M48,MATCH(A29,'2-Section de Fonctionnement'!C9:M9,0))&gt;INDEX('2-Section de Fonctionnement'!C47:M47,MATCH(B29,'2-Section de Fonctionnement'!C9:M9,0)),"L'évolution (en%) des recettes récurrentes de fonctionnement a été plus importante que celle des dépenses, sur la période. ","L'évolution (en %) des dépenses récurrentes de fonctionnement a été plus importante que celle des recettes, sur la période.") &amp;" Les dépenses ont évolué de " &amp;TEXT(INDEX('2-Section de Fonctionnement'!C10:M10,MATCH(A29,'2-Section de Fonctionnement'!C9:M9,0))-INDEX('2-Section de Fonctionnement'!C10:M10,MATCH(B29,'2-Section de Fonctionnement'!C9:M9,0)),"# ##0") &amp;B3 &amp;". Les recettes ont évolué de " &amp;TEXT(INDEX('2-Section de Fonctionnement'!C29:M29,MATCH(A29,'2-Section de Fonctionnement'!C9:M9,0))-INDEX('2-Section de Fonctionnement'!C29:M29,MATCH(B29,'2-Section de Fonctionnement'!C9:M9,0)),"# ##0") &amp;B3 &amp;" sur la période " &amp;B29 &amp;"/" &amp;A29 &amp;".","Complétez conformément toutes les données nécessaires des onglets précédents afin de pouvoir éditer l'ensemble des éléments du rapport")</f>
        <v>L'évolution (en %) des dépenses récurrentes de fonctionnement a été plus importante que celle des recettes, sur la période. Les dépenses ont évolué de 0K€. Les recettes ont évolué de 0K€ sur la période 0/0.</v>
      </c>
      <c r="B38" s="555"/>
      <c r="C38" s="555"/>
      <c r="D38" s="556"/>
      <c r="E38" s="187"/>
    </row>
    <row r="39" spans="1:10" ht="50.25" customHeight="1" x14ac:dyDescent="0.3">
      <c r="A39" s="575" t="str">
        <f>IFERROR(
  "Le taux d'épargne brute de " &amp;
  TEXT(INDEX('2-Section de Fonctionnement'!H51:M51, MATCH(A29, '2-Section de Fonctionnement'!H9:M9, 0)), "0,0%") &amp;
  IF(INDEX('2-Section de Fonctionnement'!H51:M51, MATCH(A29, '2-Section de Fonctionnement'!H9:M9, 0)) &lt; 0,
    " Ce taux est critique et négatif. Il est nécessaire de dégager une marge de manœuvre de " &amp;
    TEXT(
      (INDEX('2-Section de Fonctionnement'!H29:M29, MATCH(A29, '2-Section de Fonctionnement'!H9:M9, 0)) * 0.1)
      - INDEX('2-Section de Fonctionnement'!H47:M47, MATCH(A29, '2-Section de Fonctionnement'!H9:M9, 0)),
      "# ##0"
    ) &amp; B3 &amp;
    " pour atteindre un taux d'épargne de 10%.",
    IF(INDEX('2-Section de Fonctionnement'!H51:M51, MATCH(A29, '2-Section de Fonctionnement'!H9:M9, 0)) &lt; 0.1,
      " Ce taux est trop juste. Il est nécessaire de dégager une marge de manœuvre de " &amp;
      TEXT(
        (INDEX('2-Section de Fonctionnement'!H29:M29, MATCH(A29, '2-Section de Fonctionnement'!H9:M9, 0)) * 0.1)
        - INDEX('2-Section de Fonctionnement'!H47:M47, MATCH(A29, '2-Section de Fonctionnement'!H9:M9, 0)),
        "# ##0"
      ) &amp; B3 &amp;
      " pour atteindre un taux d'épargne de 10%.",
      ". Ce taux est satisfaisant."
    )
  ),
  "Complétez conformément toutes les données nécessaires des onglets précédents afin de pouvoir éditer l'ensemble des éléments du rapport"
)</f>
        <v>Complétez conformément toutes les données nécessaires des onglets précédents afin de pouvoir éditer l'ensemble des éléments du rapport</v>
      </c>
      <c r="B39" s="576"/>
      <c r="C39" s="576"/>
      <c r="D39" s="577"/>
      <c r="E39" s="386"/>
      <c r="F39" s="387"/>
      <c r="G39" s="387"/>
      <c r="H39" s="387"/>
      <c r="I39" s="387"/>
      <c r="J39" s="387"/>
    </row>
    <row r="40" spans="1:10" ht="75" customHeight="1" x14ac:dyDescent="0.3">
      <c r="A40" s="554" t="str">
        <f>IFERROR("Les trois postes de dépenses ayant le plus évolué sont : 
1) " &amp; INDEX('2-Section de Fonctionnement'!A11:A26,MATCH(LARGE('2-Section de Fonctionnement'!Q11:Q26,1),'2-Section de Fonctionnement'!Q11:Q26,0)) &amp; " (+" &amp; TEXT(LARGE('2-Section de Fonctionnement'!Q11:Q26,1),"0,0%") &amp; "), 
2) " &amp; INDEX('2-Section de Fonctionnement'!A11:A26,MATCH(LARGE('2-Section de Fonctionnement'!Q11:Q26,2),'2-Section de Fonctionnement'!Q11:Q26,0)) &amp; " (+" &amp; TEXT(LARGE('2-Section de Fonctionnement'!Q11:Q26,2),"0,0%") &amp; "), 
3) " &amp; INDEX('2-Section de Fonctionnement'!A11:A26,MATCH(LARGE('2-Section de Fonctionnement'!Q11:Q26,3),'2-Section de Fonctionnement'!Q11:Q26,0)) &amp; " (+" &amp; TEXT(LARGE('2-Section de Fonctionnement'!Q11:Q26,3),"0,0%") &amp; ").","Complétez conformément toutes les données nécessaires des onglets précédents afin de pouvoir éditer l'ensemble des éléments du rapport")</f>
        <v>Les trois postes de dépenses ayant le plus évolué sont : 
1) Charges de personnel (+0,0%), 
2) Charges de personnel (+0,0%), 
3) Charges de personnel (+0,0%).</v>
      </c>
      <c r="B40" s="555"/>
      <c r="C40" s="555"/>
      <c r="D40" s="556"/>
      <c r="E40" s="143"/>
    </row>
    <row r="41" spans="1:10" ht="75" customHeight="1" x14ac:dyDescent="0.3">
      <c r="A41" s="554" t="str">
        <f>IFERROR("Les trois postes de recettes ayant le plus évolué sont : 
1) " &amp; INDEX('2-Section de Fonctionnement'!A11:A26,MATCH(LARGE('2-Section de Fonctionnement'!Q30:Q44,1),'2-Section de Fonctionnement'!Q30:Q44,0)) &amp; " (+" &amp; TEXT(LARGE('2-Section de Fonctionnement'!Q30:Q44,1),"0,0%") &amp; "), 
2) " &amp; INDEX('2-Section de Fonctionnement'!A11:A26,MATCH(LARGE('2-Section de Fonctionnement'!Q30:Q44,2),'2-Section de Fonctionnement'!Q30:Q44,0)) &amp; " (+" &amp; TEXT(LARGE('2-Section de Fonctionnement'!Q30:Q44,2),"0,0%") &amp; "), 
3) " &amp; INDEX('2-Section de Fonctionnement'!A11:A26,MATCH(LARGE('2-Section de Fonctionnement'!Q30:Q44,3),'2-Section de Fonctionnement'!Q30:Q44,0)) &amp; " (+" &amp; TEXT(LARGE('2-Section de Fonctionnement'!Q30:Q44,3),"0,0%") &amp; ").","Complétez conformément toutes les données nécessaires des onglets précédents afin de pouvoir éditer l'ensemble des éléments du rapport")</f>
        <v>Les trois postes de recettes ayant le plus évolué sont : 
1) Charges de personnel (+0,0%), 
2) Charges de personnel (+0,0%), 
3) Charges de personnel (+0,0%).</v>
      </c>
      <c r="B41" s="555"/>
      <c r="C41" s="555"/>
      <c r="D41" s="556"/>
    </row>
    <row r="42" spans="1:10" ht="18.600000000000001" customHeight="1" thickBot="1" x14ac:dyDescent="0.35">
      <c r="A42" s="201"/>
      <c r="B42" s="335"/>
      <c r="C42" s="335"/>
      <c r="D42" s="202"/>
    </row>
    <row r="43" spans="1:10" ht="16.5" customHeight="1" x14ac:dyDescent="0.3">
      <c r="A43" s="560" t="s">
        <v>90</v>
      </c>
      <c r="B43" s="561"/>
      <c r="C43" s="561"/>
      <c r="D43" s="562"/>
    </row>
    <row r="44" spans="1:10" x14ac:dyDescent="0.3">
      <c r="A44" s="554" t="str">
        <f>IFERROR("Les dépenses d'investissement s'élèvent à " &amp;TEXT(INDEX('4-Section d''Investissement'!B56:L56,MATCH(A29,'4-Section d''Investissement'!B14:L14,0))-INDEX('4-Section d''Investissement'!B56:L56,MATCH(B29-1,'4-Section d''Investissement'!B14:L14,0)),"# ##0") &amp;B3 &amp;" sur la période.","Complétez conformément toutes les données nécessaires des onglets précédents afin de pouvoir éditer l'ensemble des éléments du rapport")</f>
        <v>Complétez conformément toutes les données nécessaires des onglets précédents afin de pouvoir éditer l'ensemble des éléments du rapport</v>
      </c>
      <c r="B44" s="555"/>
      <c r="C44" s="555"/>
      <c r="D44" s="556"/>
    </row>
    <row r="45" spans="1:10" ht="67.5" customHeight="1" x14ac:dyDescent="0.3">
      <c r="A45" s="554" t="str">
        <f>IFERROR(
  "L'encours de dette est de " &amp;
  TEXT(INDEX('4-Section d''Investissement'!B52:L52,MATCH(A29,'4-Section d''Investissement'!B14:L14,0)),"# ##0") &amp; B3 &amp; ". " &amp;
  IF(
    INDEX('4-Section d''Investissement'!B52:L52,MATCH(A29,'4-Section d''Investissement'!B14:L14,0)) -
    INDEX('4-Section d''Investissement'!B52:L52,MATCH(B29,'4-Section d''Investissement'!B14:L14,0)) &gt; 0,
    "Sur la période d'étude, il a augmenté de ",
    IF(
      INDEX('4-Section d''Investissement'!B52:L52,MATCH(A29,'4-Section d''Investissement'!B14:L14,0)) -
      INDEX('4-Section d''Investissement'!B52:L52,MATCH(B29,'4-Section d''Investissement'!B14:L14,0)) &lt; 0,
      "Il a diminué de ",
      ""
    )
  ) &amp;
  B30 &amp; B3 &amp; ". " &amp;
  "Ainsi la Commune mettrait " &amp;
  TEXT(INDEX('4-Section d''Investissement'!G55:L55,MATCH(A29,'4-Section d''Investissement'!G14:L14,0)),"0,0") &amp;
  " années à rembourser sa dette si elle y consacrait la totalité de son autofinancement (capacité dynamique de désendettement). " &amp;
  IF(
    INDEX('4-Section d''Investissement'!G55:L55,MATCH(A29,'4-Section d''Investissement'!G14:L14,0)) &lt; 0,
    "La commune n'est pas en mesure de rembourser sa dette car sa marge de fonctionnement est négative.",
    IF(
      INDEX('4-Section d''Investissement'!G55:L55,MATCH(A29,'4-Section d''Investissement'!G14:L14,0)) &lt; 5,
      "Il s'agit d'une situation très satisfaisante.",
      IF(
        INDEX('4-Section d''Investissement'!G55:L55,MATCH(A29,'4-Section d''Investissement'!G14:L14,0)) &lt; 8,
        "Il s'agit d'une situation satisfaisante.",
        IF(
          INDEX('4-Section d''Investissement'!G55:L55,MATCH(A29,'4-Section d''Investissement'!G14:L14,0)) &lt; 12,
          "Il s'agit d'une situation qui nécessite une vigilance particulière.",
          "La durée de désendettement dépasse le seuil d’alerte."
        )
      )
    )
  ) &amp; ".",
  "Complétez conformément toutes les données nécessaires des onglets précédents afin de pouvoir éditer l'ensemble des éléments du rapport"
)</f>
        <v>Complétez conformément toutes les données nécessaires des onglets précédents afin de pouvoir éditer l'ensemble des éléments du rapport</v>
      </c>
      <c r="B45" s="555"/>
      <c r="C45" s="555"/>
      <c r="D45" s="556"/>
      <c r="E45" s="188"/>
    </row>
    <row r="46" spans="1:10" ht="24.75" customHeight="1" x14ac:dyDescent="0.3">
      <c r="A46" s="554" t="str">
        <f>"Le seuil de vigilance est de 8 années et le seuil de dangerosité est de 12 années."</f>
        <v>Le seuil de vigilance est de 8 années et le seuil de dangerosité est de 12 années.</v>
      </c>
      <c r="B46" s="555"/>
      <c r="C46" s="555"/>
      <c r="D46" s="556"/>
    </row>
    <row r="47" spans="1:10" ht="17.25" customHeight="1" x14ac:dyDescent="0.3">
      <c r="A47" s="554" t="str">
        <f>IFERROR("L'encours de dette par habitant simulé sera de " &amp;TEXT(INDEX('4-Section d''Investissement'!B54:L54,MATCH(A29,'4-Section d''Investissement'!B14:L14,0)),"# ##0") &amp;B3 &amp;" au 31/12/" &amp;A29 &amp;".","Complétez conformément toutes les données nécessaires des onglets précédents afin de pouvoir éditer l'ensemble des éléments du rapport")</f>
        <v>L'encours de dette par habitant simulé sera de A saisirK€ au 31/12/0.</v>
      </c>
      <c r="B47" s="555"/>
      <c r="C47" s="555"/>
      <c r="D47" s="556"/>
    </row>
    <row r="48" spans="1:10" ht="71.25" customHeight="1" thickBot="1" x14ac:dyDescent="0.35">
      <c r="A48" s="557" t="str">
        <f>IFERROR(
  "À la clôture de la période, la collectivité disposera d'un fonds de roulement de " &amp;
  TEXT(INDEX('4-Section d''Investissement'!G49:L49,MATCH(A29,'4-Section d''Investissement'!G14:L14,0)),"# ##0") &amp; B3 &amp; ". " &amp;
  IF(
    INDEX('4-Section d''Investissement'!G49:L49,MATCH(A29,'4-Section d''Investissement'!G14:L14,0)) &gt;
    INDEX('2-Section de Fonctionnement'!B10:M10,MATCH(A29,'2-Section de Fonctionnement'!B9:M9,0)) / 2,
    "La collectivité disposera d'un fonds de roulement confortable lui permettant de faire face à au moins l'équivalent de 6 mois de dépenses de fonctionnement.",
    IF(
      INDEX('4-Section d''Investissement'!G49:L49,MATCH(A29,'4-Section d''Investissement'!G14:L14,0)) &gt;
      INDEX('2-Section de Fonctionnement'!B10:M10,MATCH(A29,'2-Section de Fonctionnement'!B9:M9,0)),
      "Le fonds de roulement sera conséquent car il équivaut à une année entière de dépenses de fonctionnement.",
      IF(
        INDEX('4-Section d''Investissement'!G49:L49,MATCH(A29,'4-Section d''Investissement'!G14:L14,0)) &gt;
        INDEX('2-Section de Fonctionnement'!B10:M10,MATCH(A29,'2-Section de Fonctionnement'!B9:M9,0)) / 3,
        "Le fonds de roulement permettra de financer au moins 4 mois de dépenses de fonctionnement de l'année. C'est une situation conforme mais peu confortable.",
        IF(
          INDEX('4-Section d''Investissement'!G49:L49,MATCH(A29,'4-Section d''Investissement'!G14:L14,0)) &lt; 0,
          "Le fonds de roulement sera négatif, illustrant une situation périlleuse nécessitant une vigilance sur la trésorerie et le recours à un financement externe.",
          IF(
            INDEX('4-Section d''Investissement'!G49:L49,MATCH(A29,'4-Section d''Investissement'!G14:L14,0)) &gt; 0,
            "Le fonds de roulement ne représentera que quelques mois de dépenses de fonctionnement. La situation ne sera pas confortable et devra faire l'objet d'un suivi régulier.",
            "Données insuffisantes pour interpréter la situation du fonds de roulement."
          )
        )
      )
    )
  ) &amp; ".",
  "Complétez conformément toutes les données nécessaires des onglets précédents afin de pouvoir éditer l'ensemble des éléments du rapport"
)</f>
        <v>Complétez conformément toutes les données nécessaires des onglets précédents afin de pouvoir éditer l'ensemble des éléments du rapport</v>
      </c>
      <c r="B48" s="558"/>
      <c r="C48" s="558"/>
      <c r="D48" s="559"/>
    </row>
    <row r="49" spans="1:4" ht="48" customHeight="1" x14ac:dyDescent="0.3">
      <c r="A49" s="593" t="s">
        <v>112</v>
      </c>
      <c r="B49" s="594"/>
      <c r="C49" s="594"/>
      <c r="D49" s="595"/>
    </row>
    <row r="50" spans="1:4" ht="84.75" customHeight="1" thickBot="1" x14ac:dyDescent="0.35">
      <c r="A50" s="590" t="s">
        <v>113</v>
      </c>
      <c r="B50" s="591"/>
      <c r="C50" s="591"/>
      <c r="D50" s="592"/>
    </row>
  </sheetData>
  <sheetProtection algorithmName="SHA-512" hashValue="PfzDDDz5gJ3eUrrfhhefBdTVYMxGFER9jS0saJBghyrbSRZKgpM+HTX+PIzN4/joc8sTbSyb//ewZp9hJuN9vQ==" saltValue="eWp+RQvtjuYf09qclZcWsw==" spinCount="100000" sheet="1" insertRows="0"/>
  <mergeCells count="42">
    <mergeCell ref="A50:D50"/>
    <mergeCell ref="A26:D26"/>
    <mergeCell ref="A27:D27"/>
    <mergeCell ref="A49:D49"/>
    <mergeCell ref="A1:D1"/>
    <mergeCell ref="A16:D16"/>
    <mergeCell ref="A14:D14"/>
    <mergeCell ref="A20:D20"/>
    <mergeCell ref="A12:D12"/>
    <mergeCell ref="A9:D9"/>
    <mergeCell ref="A10:D10"/>
    <mergeCell ref="A6:D6"/>
    <mergeCell ref="A15:D15"/>
    <mergeCell ref="A24:D24"/>
    <mergeCell ref="A7:D7"/>
    <mergeCell ref="A28:D28"/>
    <mergeCell ref="A39:D39"/>
    <mergeCell ref="A11:D11"/>
    <mergeCell ref="A22:D22"/>
    <mergeCell ref="A13:D13"/>
    <mergeCell ref="A32:D32"/>
    <mergeCell ref="A34:D34"/>
    <mergeCell ref="A33:D33"/>
    <mergeCell ref="A36:D36"/>
    <mergeCell ref="A38:D38"/>
    <mergeCell ref="A37:D37"/>
    <mergeCell ref="A35:D35"/>
    <mergeCell ref="A8:D8"/>
    <mergeCell ref="A17:D17"/>
    <mergeCell ref="A21:D21"/>
    <mergeCell ref="A23:D23"/>
    <mergeCell ref="A25:D25"/>
    <mergeCell ref="A19:D19"/>
    <mergeCell ref="A18:D18"/>
    <mergeCell ref="A40:D40"/>
    <mergeCell ref="A48:D48"/>
    <mergeCell ref="A41:D41"/>
    <mergeCell ref="A45:D45"/>
    <mergeCell ref="A43:D43"/>
    <mergeCell ref="A44:D44"/>
    <mergeCell ref="A46:D46"/>
    <mergeCell ref="A47:D47"/>
  </mergeCells>
  <pageMargins left="0.25" right="0.25" top="0.75" bottom="0.75" header="0.3" footer="0.3"/>
  <pageSetup paperSize="9" orientation="portrait" r:id="rId1"/>
  <headerFooter>
    <oddHeader xml:space="preserve">&amp;LElanVision : outil proposé par ElanRural.fr </oddHeader>
  </headerFooter>
  <rowBreaks count="3" manualBreakCount="3">
    <brk id="19" max="3" man="1"/>
    <brk id="30" max="16383" man="1"/>
    <brk id="4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1-Informations-paramètres </vt:lpstr>
      <vt:lpstr>2-Section de Fonctionnement</vt:lpstr>
      <vt:lpstr>3-Variations du fonctionnement</vt:lpstr>
      <vt:lpstr>4-Section d'Investissement</vt:lpstr>
      <vt:lpstr>5-Recours à la dette </vt:lpstr>
      <vt:lpstr>6-Synthèse</vt:lpstr>
      <vt:lpstr>Scénario_Evolution</vt:lpstr>
      <vt:lpstr>'1-Informations-paramètres '!Zone_d_impression</vt:lpstr>
      <vt:lpstr>'3-Variations du fonctionnement'!Zone_d_impression</vt:lpstr>
      <vt:lpstr>'5-Recours à la dette '!Zone_d_impression</vt:lpstr>
      <vt:lpstr>'6-Synthèse'!Zone_d_impression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ElanRural_Johann Le Mons</dc:creator>
  <cp:keywords/>
  <dc:description/>
  <cp:lastModifiedBy>johann Le mons</cp:lastModifiedBy>
  <cp:revision/>
  <cp:lastPrinted>2025-06-07T16:18:37Z</cp:lastPrinted>
  <dcterms:created xsi:type="dcterms:W3CDTF">2024-09-15T15:19:15Z</dcterms:created>
  <dcterms:modified xsi:type="dcterms:W3CDTF">2025-12-21T16:44:50Z</dcterms:modified>
  <cp:category/>
  <cp:contentStatus/>
</cp:coreProperties>
</file>