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Johann\Documents\"/>
    </mc:Choice>
  </mc:AlternateContent>
  <xr:revisionPtr revIDLastSave="0" documentId="8_{E15019F8-FC3C-4DE7-B502-D807D2178054}" xr6:coauthVersionLast="47" xr6:coauthVersionMax="47" xr10:uidLastSave="{00000000-0000-0000-0000-000000000000}"/>
  <workbookProtection workbookAlgorithmName="SHA-512" workbookHashValue="VWT6GVmu2bfsBhTXL2AoSRMYt6BUll1BdwHTSmJ1by+tZkTqEdEAnUmAQb0ofMZRCwSb8BrAosymKh4Qloookw==" workbookSaltValue="IMe7Oe7s5dg7wWmxXQLkJA==" workbookSpinCount="100000" lockStructure="1"/>
  <bookViews>
    <workbookView xWindow="-110" yWindow="-110" windowWidth="19420" windowHeight="10300" xr2:uid="{789A7446-DD5D-4324-B5D2-5BC5502F5765}"/>
  </bookViews>
  <sheets>
    <sheet name="1-Informations-paramètres " sheetId="1" r:id="rId1"/>
    <sheet name="2-Section de Fonctionnement" sheetId="2" r:id="rId2"/>
    <sheet name="3-Variations du fonctionnement" sheetId="3" r:id="rId3"/>
    <sheet name="4-Section d'Investissement" sheetId="7" r:id="rId4"/>
    <sheet name="5-Recours à la dette " sheetId="6" r:id="rId5"/>
    <sheet name="6-Synthèse" sheetId="4" r:id="rId6"/>
  </sheets>
  <definedNames>
    <definedName name="Liste_Combinee">union('1-Informations-paramètres '!$A$19,'1-Informations-paramètres '!$B$21:$B$33)</definedName>
    <definedName name="Scénario_Evolution">'3-Variations du fonctionnement'!$A$3:$H$13</definedName>
    <definedName name="_xlnm.Print_Area" localSheetId="0">'1-Informations-paramètres '!$A$1:$F$49</definedName>
    <definedName name="_xlnm.Print_Area" localSheetId="2">'3-Variations du fonctionnement'!$A$1:$P$37</definedName>
    <definedName name="_xlnm.Print_Area" localSheetId="4">'5-Recours à la dette '!$A$1:$K$45</definedName>
    <definedName name="_xlnm.Print_Area" localSheetId="5">'6-Synthèse'!$A$1:$D$53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2" l="1"/>
  <c r="O40" i="2"/>
  <c r="H41" i="2"/>
  <c r="I41" i="2" s="1"/>
  <c r="J41" i="2" s="1"/>
  <c r="K41" i="2" s="1"/>
  <c r="L41" i="2" s="1"/>
  <c r="M41" i="2" s="1"/>
  <c r="H40" i="2"/>
  <c r="I40" i="2" s="1"/>
  <c r="J40" i="2" s="1"/>
  <c r="K40" i="2" s="1"/>
  <c r="L40" i="2" s="1"/>
  <c r="M40" i="2" s="1"/>
  <c r="O23" i="2"/>
  <c r="O22" i="2"/>
  <c r="O21" i="2"/>
  <c r="O42" i="2"/>
  <c r="O39" i="2"/>
  <c r="A1" i="4"/>
  <c r="H43" i="2"/>
  <c r="I43" i="2" s="1"/>
  <c r="J43" i="2" s="1"/>
  <c r="K43" i="2" s="1"/>
  <c r="L43" i="2" s="1"/>
  <c r="M43" i="2" s="1"/>
  <c r="H42" i="2"/>
  <c r="I42" i="2" s="1"/>
  <c r="J42" i="2" s="1"/>
  <c r="K42" i="2" s="1"/>
  <c r="L42" i="2" s="1"/>
  <c r="M42" i="2" s="1"/>
  <c r="H39" i="2"/>
  <c r="I39" i="2" s="1"/>
  <c r="J39" i="2" s="1"/>
  <c r="K39" i="2" s="1"/>
  <c r="L39" i="2" s="1"/>
  <c r="M39" i="2" s="1"/>
  <c r="H38" i="2"/>
  <c r="I38" i="2" s="1"/>
  <c r="J38" i="2" s="1"/>
  <c r="K38" i="2" s="1"/>
  <c r="L38" i="2" s="1"/>
  <c r="M38" i="2" s="1"/>
  <c r="H37" i="2"/>
  <c r="I37" i="2" s="1"/>
  <c r="J37" i="2" s="1"/>
  <c r="K37" i="2" s="1"/>
  <c r="L37" i="2" s="1"/>
  <c r="M37" i="2" s="1"/>
  <c r="H36" i="2"/>
  <c r="I36" i="2" s="1"/>
  <c r="J36" i="2" s="1"/>
  <c r="K36" i="2" s="1"/>
  <c r="L36" i="2" s="1"/>
  <c r="M36" i="2" s="1"/>
  <c r="H35" i="2"/>
  <c r="I35" i="2" s="1"/>
  <c r="J35" i="2" s="1"/>
  <c r="K35" i="2" s="1"/>
  <c r="L35" i="2" s="1"/>
  <c r="M35" i="2" s="1"/>
  <c r="H34" i="2"/>
  <c r="I34" i="2" s="1"/>
  <c r="J34" i="2" s="1"/>
  <c r="K34" i="2" s="1"/>
  <c r="L34" i="2" s="1"/>
  <c r="M34" i="2" s="1"/>
  <c r="H33" i="2"/>
  <c r="I33" i="2" s="1"/>
  <c r="J33" i="2" s="1"/>
  <c r="K33" i="2" s="1"/>
  <c r="L33" i="2" s="1"/>
  <c r="M33" i="2" s="1"/>
  <c r="H32" i="2"/>
  <c r="I32" i="2" s="1"/>
  <c r="J32" i="2" s="1"/>
  <c r="K32" i="2" s="1"/>
  <c r="L32" i="2" s="1"/>
  <c r="M32" i="2" s="1"/>
  <c r="H31" i="2"/>
  <c r="I31" i="2" s="1"/>
  <c r="J31" i="2" s="1"/>
  <c r="K31" i="2" s="1"/>
  <c r="L31" i="2" s="1"/>
  <c r="M31" i="2" s="1"/>
  <c r="H30" i="2"/>
  <c r="I30" i="2" s="1"/>
  <c r="J30" i="2" s="1"/>
  <c r="K30" i="2" s="1"/>
  <c r="L30" i="2" s="1"/>
  <c r="M30" i="2" s="1"/>
  <c r="H25" i="2"/>
  <c r="I25" i="2" s="1"/>
  <c r="J25" i="2" s="1"/>
  <c r="K25" i="2" s="1"/>
  <c r="L25" i="2" s="1"/>
  <c r="M25" i="2" s="1"/>
  <c r="H24" i="2"/>
  <c r="I24" i="2" s="1"/>
  <c r="J24" i="2" s="1"/>
  <c r="K24" i="2" s="1"/>
  <c r="L24" i="2" s="1"/>
  <c r="M24" i="2" s="1"/>
  <c r="H23" i="2"/>
  <c r="I23" i="2" s="1"/>
  <c r="J23" i="2" s="1"/>
  <c r="K23" i="2" s="1"/>
  <c r="L23" i="2" s="1"/>
  <c r="M23" i="2" s="1"/>
  <c r="H22" i="2"/>
  <c r="I22" i="2" s="1"/>
  <c r="J22" i="2" s="1"/>
  <c r="K22" i="2" s="1"/>
  <c r="L22" i="2" s="1"/>
  <c r="M22" i="2" s="1"/>
  <c r="H21" i="2"/>
  <c r="I21" i="2" s="1"/>
  <c r="J21" i="2" s="1"/>
  <c r="K21" i="2" s="1"/>
  <c r="L21" i="2" s="1"/>
  <c r="M21" i="2" s="1"/>
  <c r="H20" i="2"/>
  <c r="I20" i="2" s="1"/>
  <c r="J20" i="2" s="1"/>
  <c r="K20" i="2" s="1"/>
  <c r="L20" i="2" s="1"/>
  <c r="M20" i="2" s="1"/>
  <c r="H19" i="2"/>
  <c r="I19" i="2" s="1"/>
  <c r="J19" i="2" s="1"/>
  <c r="K19" i="2" s="1"/>
  <c r="L19" i="2" s="1"/>
  <c r="M19" i="2" s="1"/>
  <c r="H18" i="2"/>
  <c r="I18" i="2" s="1"/>
  <c r="J18" i="2" s="1"/>
  <c r="K18" i="2" s="1"/>
  <c r="L18" i="2" s="1"/>
  <c r="M18" i="2" s="1"/>
  <c r="H17" i="2"/>
  <c r="I17" i="2" s="1"/>
  <c r="J17" i="2" s="1"/>
  <c r="K17" i="2" s="1"/>
  <c r="L17" i="2" s="1"/>
  <c r="M17" i="2" s="1"/>
  <c r="H16" i="2"/>
  <c r="I16" i="2" s="1"/>
  <c r="J16" i="2" s="1"/>
  <c r="K16" i="2" s="1"/>
  <c r="L16" i="2" s="1"/>
  <c r="M16" i="2" s="1"/>
  <c r="H15" i="2"/>
  <c r="I15" i="2" s="1"/>
  <c r="J15" i="2" s="1"/>
  <c r="K15" i="2" s="1"/>
  <c r="L15" i="2" s="1"/>
  <c r="M15" i="2" s="1"/>
  <c r="H14" i="2"/>
  <c r="I14" i="2" s="1"/>
  <c r="J14" i="2" s="1"/>
  <c r="K14" i="2" s="1"/>
  <c r="L14" i="2" s="1"/>
  <c r="M14" i="2" s="1"/>
  <c r="H13" i="2"/>
  <c r="I13" i="2" s="1"/>
  <c r="J13" i="2" s="1"/>
  <c r="H11" i="2"/>
  <c r="I11" i="2" s="1"/>
  <c r="J11" i="2" s="1"/>
  <c r="K11" i="2" s="1"/>
  <c r="L11" i="2" s="1"/>
  <c r="M11" i="2" s="1"/>
  <c r="F48" i="1"/>
  <c r="A32" i="4"/>
  <c r="A33" i="4" l="1"/>
  <c r="A23" i="4" l="1"/>
  <c r="A15" i="4"/>
  <c r="B56" i="7"/>
  <c r="A6" i="4" l="1"/>
  <c r="A29" i="4"/>
  <c r="B29" i="4"/>
  <c r="P44" i="7"/>
  <c r="E40" i="6"/>
  <c r="D40" i="6"/>
  <c r="C40" i="6"/>
  <c r="B40" i="6"/>
  <c r="D64" i="1"/>
  <c r="D63" i="1"/>
  <c r="D60" i="1"/>
  <c r="D61" i="1"/>
  <c r="D62" i="1"/>
  <c r="B14" i="1" l="1"/>
  <c r="D54" i="1"/>
  <c r="D55" i="1"/>
  <c r="D56" i="1"/>
  <c r="D57" i="1"/>
  <c r="D58" i="1"/>
  <c r="D59" i="1"/>
  <c r="D53" i="1"/>
  <c r="D52" i="1"/>
  <c r="D51" i="1"/>
  <c r="E7" i="6"/>
  <c r="D7" i="6"/>
  <c r="C7" i="6"/>
  <c r="B7" i="6"/>
  <c r="E6" i="6"/>
  <c r="D6" i="6"/>
  <c r="C6" i="6"/>
  <c r="B6" i="6"/>
  <c r="K37" i="3"/>
  <c r="K36" i="3"/>
  <c r="K35" i="3"/>
  <c r="K34" i="3"/>
  <c r="K33" i="3"/>
  <c r="K32" i="3"/>
  <c r="K31" i="3"/>
  <c r="K30" i="3"/>
  <c r="K29" i="3"/>
  <c r="K28" i="3"/>
  <c r="K26" i="3"/>
  <c r="K25" i="3"/>
  <c r="K24" i="3"/>
  <c r="K23" i="3"/>
  <c r="K22" i="3"/>
  <c r="K21" i="3"/>
  <c r="K20" i="3"/>
  <c r="K19" i="3"/>
  <c r="K18" i="3"/>
  <c r="L37" i="3"/>
  <c r="M37" i="3" s="1"/>
  <c r="N37" i="3" s="1"/>
  <c r="O37" i="3" s="1"/>
  <c r="P37" i="3" s="1"/>
  <c r="L36" i="3"/>
  <c r="M36" i="3" s="1"/>
  <c r="N36" i="3" s="1"/>
  <c r="O36" i="3" s="1"/>
  <c r="P36" i="3" s="1"/>
  <c r="L35" i="3"/>
  <c r="M35" i="3" s="1"/>
  <c r="N35" i="3" s="1"/>
  <c r="O35" i="3" s="1"/>
  <c r="P35" i="3" s="1"/>
  <c r="L34" i="3"/>
  <c r="M34" i="3" s="1"/>
  <c r="N34" i="3" s="1"/>
  <c r="O34" i="3" s="1"/>
  <c r="P34" i="3" s="1"/>
  <c r="L33" i="3"/>
  <c r="M33" i="3" s="1"/>
  <c r="N33" i="3" s="1"/>
  <c r="O33" i="3" s="1"/>
  <c r="P33" i="3" s="1"/>
  <c r="L32" i="3"/>
  <c r="M32" i="3" s="1"/>
  <c r="N32" i="3" s="1"/>
  <c r="O32" i="3" s="1"/>
  <c r="P32" i="3" s="1"/>
  <c r="L31" i="3"/>
  <c r="M31" i="3" s="1"/>
  <c r="N31" i="3" s="1"/>
  <c r="O31" i="3" s="1"/>
  <c r="P31" i="3" s="1"/>
  <c r="L30" i="3"/>
  <c r="M30" i="3" s="1"/>
  <c r="N30" i="3" s="1"/>
  <c r="O30" i="3" s="1"/>
  <c r="P30" i="3" s="1"/>
  <c r="L29" i="3"/>
  <c r="M29" i="3" s="1"/>
  <c r="N29" i="3" s="1"/>
  <c r="O29" i="3" s="1"/>
  <c r="P29" i="3" s="1"/>
  <c r="L28" i="3"/>
  <c r="M28" i="3" s="1"/>
  <c r="N28" i="3" s="1"/>
  <c r="O28" i="3" s="1"/>
  <c r="P28" i="3" s="1"/>
  <c r="L26" i="3"/>
  <c r="M26" i="3" s="1"/>
  <c r="N26" i="3" s="1"/>
  <c r="O26" i="3" s="1"/>
  <c r="P26" i="3" s="1"/>
  <c r="L25" i="3"/>
  <c r="M25" i="3" s="1"/>
  <c r="N25" i="3" s="1"/>
  <c r="O25" i="3" s="1"/>
  <c r="P25" i="3" s="1"/>
  <c r="L24" i="3"/>
  <c r="M24" i="3" s="1"/>
  <c r="N24" i="3" s="1"/>
  <c r="O24" i="3" s="1"/>
  <c r="P24" i="3" s="1"/>
  <c r="L23" i="3"/>
  <c r="M23" i="3" s="1"/>
  <c r="N23" i="3" s="1"/>
  <c r="O23" i="3" s="1"/>
  <c r="P23" i="3" s="1"/>
  <c r="L22" i="3"/>
  <c r="M22" i="3" s="1"/>
  <c r="N22" i="3" s="1"/>
  <c r="O22" i="3" s="1"/>
  <c r="P22" i="3" s="1"/>
  <c r="L21" i="3"/>
  <c r="M21" i="3" s="1"/>
  <c r="N21" i="3" s="1"/>
  <c r="O21" i="3" s="1"/>
  <c r="P21" i="3" s="1"/>
  <c r="L20" i="3"/>
  <c r="M20" i="3" s="1"/>
  <c r="N20" i="3" s="1"/>
  <c r="O20" i="3" s="1"/>
  <c r="P20" i="3" s="1"/>
  <c r="L19" i="3"/>
  <c r="M19" i="3" s="1"/>
  <c r="N19" i="3" s="1"/>
  <c r="O19" i="3" s="1"/>
  <c r="P19" i="3" s="1"/>
  <c r="L18" i="3"/>
  <c r="M18" i="3" s="1"/>
  <c r="N18" i="3" s="1"/>
  <c r="O18" i="3" s="1"/>
  <c r="P18" i="3" s="1"/>
  <c r="K17" i="3"/>
  <c r="L17" i="3" s="1"/>
  <c r="M17" i="3" s="1"/>
  <c r="N17" i="3" s="1"/>
  <c r="O17" i="3" s="1"/>
  <c r="P17" i="3" s="1"/>
  <c r="A3" i="4"/>
  <c r="B3" i="4"/>
  <c r="O43" i="2"/>
  <c r="O38" i="2"/>
  <c r="O37" i="2"/>
  <c r="O36" i="2"/>
  <c r="O35" i="2"/>
  <c r="O34" i="2"/>
  <c r="O33" i="2"/>
  <c r="O32" i="2"/>
  <c r="O31" i="2"/>
  <c r="O29" i="2"/>
  <c r="O25" i="2"/>
  <c r="O24" i="2"/>
  <c r="O20" i="2"/>
  <c r="O19" i="2"/>
  <c r="O18" i="2"/>
  <c r="O17" i="2"/>
  <c r="O16" i="2"/>
  <c r="O15" i="2"/>
  <c r="O14" i="2"/>
  <c r="O13" i="2"/>
  <c r="O11" i="2"/>
  <c r="O10" i="2"/>
  <c r="A46" i="4"/>
  <c r="Q46" i="2"/>
  <c r="Q28" i="2"/>
  <c r="Q9" i="2"/>
  <c r="B54" i="1"/>
  <c r="B55" i="1" s="1"/>
  <c r="B56" i="1" s="1"/>
  <c r="B57" i="1" s="1"/>
  <c r="B58" i="1" s="1"/>
  <c r="B59" i="1" s="1"/>
  <c r="B60" i="1" s="1"/>
  <c r="B61" i="1" s="1"/>
  <c r="B62" i="1" s="1"/>
  <c r="A16" i="3"/>
  <c r="A27" i="3"/>
  <c r="A2" i="3"/>
  <c r="F8" i="1"/>
  <c r="F36" i="6"/>
  <c r="K43" i="6"/>
  <c r="K41" i="6"/>
  <c r="A2" i="6"/>
  <c r="E53" i="7"/>
  <c r="G53" i="7"/>
  <c r="H53" i="7" s="1"/>
  <c r="I53" i="7" s="1"/>
  <c r="J53" i="7" s="1"/>
  <c r="K53" i="7" s="1"/>
  <c r="N53" i="7" l="1"/>
  <c r="B43" i="6"/>
  <c r="B35" i="6"/>
  <c r="C43" i="6"/>
  <c r="C35" i="6"/>
  <c r="D43" i="6"/>
  <c r="D35" i="6"/>
  <c r="E43" i="6"/>
  <c r="E35" i="6"/>
  <c r="L53" i="7"/>
  <c r="B41" i="6"/>
  <c r="B33" i="6"/>
  <c r="C41" i="6"/>
  <c r="C33" i="6"/>
  <c r="D41" i="6"/>
  <c r="D33" i="6"/>
  <c r="E41" i="6"/>
  <c r="E33" i="6"/>
  <c r="C10" i="7"/>
  <c r="C29" i="7" s="1"/>
  <c r="C47" i="7" s="1"/>
  <c r="E10" i="7"/>
  <c r="E29" i="7" s="1"/>
  <c r="E47" i="7" s="1"/>
  <c r="D10" i="7"/>
  <c r="D29" i="7" s="1"/>
  <c r="D47" i="7" s="1"/>
  <c r="B46" i="7"/>
  <c r="I29" i="3" l="1"/>
  <c r="I30" i="3"/>
  <c r="I31" i="3"/>
  <c r="I32" i="3"/>
  <c r="I33" i="3"/>
  <c r="I34" i="3"/>
  <c r="I35" i="3"/>
  <c r="I36" i="3"/>
  <c r="I37" i="3"/>
  <c r="I28" i="3"/>
  <c r="I18" i="3"/>
  <c r="I19" i="3"/>
  <c r="I20" i="3"/>
  <c r="I21" i="3"/>
  <c r="I22" i="3"/>
  <c r="I23" i="3"/>
  <c r="I24" i="3"/>
  <c r="I25" i="3"/>
  <c r="I26" i="3"/>
  <c r="I17" i="3"/>
  <c r="I16" i="3" s="1"/>
  <c r="A2" i="7"/>
  <c r="A2" i="2"/>
  <c r="B13" i="1"/>
  <c r="M26" i="7"/>
  <c r="H30" i="7"/>
  <c r="J43" i="6"/>
  <c r="J41" i="6"/>
  <c r="E39" i="7"/>
  <c r="D39" i="7"/>
  <c r="C39" i="7"/>
  <c r="N26" i="7"/>
  <c r="I27" i="3" l="1"/>
  <c r="O30" i="2"/>
  <c r="H29" i="7"/>
  <c r="C9" i="2" l="1"/>
  <c r="G43" i="6"/>
  <c r="B5" i="6"/>
  <c r="B32" i="6" s="1"/>
  <c r="B10" i="7"/>
  <c r="K13" i="2" l="1"/>
  <c r="L13" i="2" s="1"/>
  <c r="M13" i="2" s="1"/>
  <c r="B39" i="6"/>
  <c r="C39" i="6" s="1"/>
  <c r="D39" i="6" s="1"/>
  <c r="E39" i="6" s="1"/>
  <c r="C32" i="6"/>
  <c r="D32" i="6" s="1"/>
  <c r="E32" i="6" s="1"/>
  <c r="B29" i="7"/>
  <c r="F43" i="6"/>
  <c r="I41" i="6"/>
  <c r="H41" i="6"/>
  <c r="G41" i="6"/>
  <c r="F41" i="6"/>
  <c r="I43" i="6"/>
  <c r="H43" i="6"/>
  <c r="B47" i="7" l="1"/>
  <c r="B39" i="7"/>
  <c r="C48" i="7"/>
  <c r="D48" i="7"/>
  <c r="E48" i="7"/>
  <c r="B48" i="7"/>
  <c r="F34" i="6"/>
  <c r="F35" i="6"/>
  <c r="F33" i="6"/>
  <c r="F49" i="6" s="1"/>
  <c r="B49" i="7" l="1"/>
  <c r="G16" i="7"/>
  <c r="F50" i="6"/>
  <c r="H12" i="2" s="1"/>
  <c r="G15" i="7" l="1"/>
  <c r="C46" i="7"/>
  <c r="C49" i="7" s="1"/>
  <c r="B50" i="7"/>
  <c r="D46" i="7" l="1"/>
  <c r="D49" i="7" s="1"/>
  <c r="E46" i="7" s="1"/>
  <c r="C50" i="7"/>
  <c r="C25" i="7"/>
  <c r="D25" i="7"/>
  <c r="E25" i="7"/>
  <c r="G30" i="7" s="1"/>
  <c r="G29" i="7" s="1"/>
  <c r="F47" i="2"/>
  <c r="F48" i="2" s="1"/>
  <c r="E47" i="2"/>
  <c r="D47" i="2"/>
  <c r="C47" i="2"/>
  <c r="F44" i="2"/>
  <c r="E44" i="2"/>
  <c r="D44" i="2"/>
  <c r="C44" i="2"/>
  <c r="F26" i="2"/>
  <c r="E26" i="2"/>
  <c r="D26" i="2"/>
  <c r="D48" i="2" l="1"/>
  <c r="D50" i="2" s="1"/>
  <c r="E48" i="2"/>
  <c r="E50" i="2" s="1"/>
  <c r="C48" i="2"/>
  <c r="C50" i="2" s="1"/>
  <c r="A18" i="4"/>
  <c r="H44" i="2"/>
  <c r="I44" i="2" s="1"/>
  <c r="J44" i="2" s="1"/>
  <c r="K44" i="2" s="1"/>
  <c r="L44" i="2" s="1"/>
  <c r="M44" i="2" s="1"/>
  <c r="A16" i="4"/>
  <c r="H26" i="2"/>
  <c r="I26" i="2" s="1"/>
  <c r="J26" i="2" s="1"/>
  <c r="K26" i="2" s="1"/>
  <c r="L26" i="2" s="1"/>
  <c r="M26" i="2" s="1"/>
  <c r="E49" i="7"/>
  <c r="A25" i="4" s="1" a="1"/>
  <c r="A25" i="4" s="1"/>
  <c r="N46" i="7"/>
  <c r="E49" i="2"/>
  <c r="O44" i="2"/>
  <c r="A19" i="4" s="1"/>
  <c r="O47" i="2"/>
  <c r="D49" i="2"/>
  <c r="F50" i="2"/>
  <c r="F49" i="2"/>
  <c r="A12" i="4" s="1" a="1"/>
  <c r="A12" i="4" s="1"/>
  <c r="D50" i="7"/>
  <c r="H29" i="2"/>
  <c r="F32" i="6"/>
  <c r="G32" i="6" s="1"/>
  <c r="H32" i="6" s="1"/>
  <c r="I32" i="6" s="1"/>
  <c r="J32" i="6" s="1"/>
  <c r="K32" i="6" s="1"/>
  <c r="F39" i="6"/>
  <c r="C5" i="6"/>
  <c r="D5" i="6" s="1"/>
  <c r="E5" i="6" s="1"/>
  <c r="O48" i="2" l="1"/>
  <c r="A13" i="4"/>
  <c r="A11" i="4"/>
  <c r="N49" i="7"/>
  <c r="A14" i="4" a="1"/>
  <c r="A14" i="4" s="1"/>
  <c r="G46" i="7"/>
  <c r="F11" i="6" s="1"/>
  <c r="E50" i="7"/>
  <c r="N50" i="7" s="1"/>
  <c r="G39" i="6"/>
  <c r="H39" i="6" s="1"/>
  <c r="I39" i="6" s="1"/>
  <c r="J39" i="6" s="1"/>
  <c r="K39" i="6" s="1"/>
  <c r="F47" i="6"/>
  <c r="G47" i="6" s="1"/>
  <c r="H47" i="6" s="1"/>
  <c r="I47" i="6" s="1"/>
  <c r="J47" i="6" s="1"/>
  <c r="K47" i="6" s="1"/>
  <c r="F9" i="6"/>
  <c r="F5" i="6"/>
  <c r="G5" i="6" s="1"/>
  <c r="H5" i="6" s="1"/>
  <c r="I5" i="6" s="1"/>
  <c r="J5" i="6" s="1"/>
  <c r="K5" i="6" s="1"/>
  <c r="D9" i="2"/>
  <c r="B3" i="2"/>
  <c r="C28" i="2"/>
  <c r="O50" i="2" l="1"/>
  <c r="E9" i="2"/>
  <c r="I29" i="2"/>
  <c r="J29" i="2"/>
  <c r="B14" i="7"/>
  <c r="C46" i="2"/>
  <c r="D46" i="2" s="1"/>
  <c r="E46" i="2" s="1"/>
  <c r="F46" i="2" s="1"/>
  <c r="H46" i="2" s="1"/>
  <c r="I46" i="2" s="1"/>
  <c r="J46" i="2" s="1"/>
  <c r="K46" i="2" s="1"/>
  <c r="L46" i="2" s="1"/>
  <c r="M46" i="2" s="1"/>
  <c r="G9" i="6"/>
  <c r="H9" i="6" s="1"/>
  <c r="B25" i="6"/>
  <c r="C25" i="6" s="1"/>
  <c r="D25" i="6" s="1"/>
  <c r="E25" i="6" s="1"/>
  <c r="F25" i="6" s="1"/>
  <c r="G25" i="6" s="1"/>
  <c r="A19" i="6"/>
  <c r="D28" i="2"/>
  <c r="E28" i="2" s="1"/>
  <c r="F28" i="2" s="1"/>
  <c r="H28" i="2" s="1"/>
  <c r="I28" i="2" s="1"/>
  <c r="J28" i="2" s="1"/>
  <c r="K28" i="2" s="1"/>
  <c r="L28" i="2" s="1"/>
  <c r="M28" i="2" s="1"/>
  <c r="F9" i="2" l="1"/>
  <c r="A10" i="4"/>
  <c r="A8" i="4"/>
  <c r="A21" i="4"/>
  <c r="A7" i="4"/>
  <c r="O9" i="2"/>
  <c r="O28" i="2" s="1"/>
  <c r="O46" i="2" s="1"/>
  <c r="C14" i="7"/>
  <c r="R11" i="2"/>
  <c r="H9" i="2"/>
  <c r="K29" i="2"/>
  <c r="B3" i="7"/>
  <c r="B7" i="7" s="1"/>
  <c r="C7" i="7" s="1"/>
  <c r="D7" i="7" s="1"/>
  <c r="E7" i="7" s="1"/>
  <c r="A20" i="6"/>
  <c r="I9" i="6"/>
  <c r="A21" i="6"/>
  <c r="D14" i="7" l="1"/>
  <c r="M29" i="2"/>
  <c r="C3" i="3"/>
  <c r="D3" i="3" s="1"/>
  <c r="E3" i="3" s="1"/>
  <c r="F3" i="3" s="1"/>
  <c r="G3" i="3" s="1"/>
  <c r="H3" i="3" s="1"/>
  <c r="I9" i="2"/>
  <c r="L29" i="2"/>
  <c r="B28" i="7"/>
  <c r="J9" i="6"/>
  <c r="A22" i="6"/>
  <c r="H10" i="2"/>
  <c r="G47" i="7" s="1"/>
  <c r="E14" i="7" l="1"/>
  <c r="G14" i="7" s="1"/>
  <c r="C15" i="3"/>
  <c r="J9" i="2"/>
  <c r="A23" i="6"/>
  <c r="K9" i="6"/>
  <c r="C28" i="7"/>
  <c r="B44" i="7"/>
  <c r="H47" i="2"/>
  <c r="H48" i="2" s="1"/>
  <c r="F10" i="6"/>
  <c r="H14" i="7" l="1"/>
  <c r="D15" i="3"/>
  <c r="K15" i="3"/>
  <c r="K9" i="2"/>
  <c r="H50" i="2"/>
  <c r="H49" i="2"/>
  <c r="F13" i="6"/>
  <c r="F14" i="6" s="1"/>
  <c r="D28" i="7"/>
  <c r="C44" i="7"/>
  <c r="C27" i="6" l="1"/>
  <c r="C26" i="6"/>
  <c r="I14" i="7"/>
  <c r="E15" i="3"/>
  <c r="L15" i="3"/>
  <c r="L9" i="2"/>
  <c r="F48" i="6"/>
  <c r="G48" i="7" s="1"/>
  <c r="G41" i="7" s="1"/>
  <c r="C19" i="6"/>
  <c r="D19" i="6" s="1"/>
  <c r="E19" i="6" s="1"/>
  <c r="F19" i="6" s="1"/>
  <c r="E28" i="7"/>
  <c r="D44" i="7"/>
  <c r="G33" i="6" l="1"/>
  <c r="G49" i="6" s="1"/>
  <c r="H16" i="7" s="1"/>
  <c r="I30" i="7" s="1"/>
  <c r="I29" i="7" s="1"/>
  <c r="J14" i="7"/>
  <c r="M15" i="3"/>
  <c r="F15" i="3"/>
  <c r="M9" i="2"/>
  <c r="G35" i="6"/>
  <c r="G50" i="6" s="1"/>
  <c r="I12" i="2" s="1"/>
  <c r="G36" i="6"/>
  <c r="G34" i="6"/>
  <c r="G49" i="7"/>
  <c r="H15" i="7"/>
  <c r="G28" i="7"/>
  <c r="E44" i="7"/>
  <c r="N44" i="7" s="1"/>
  <c r="Q41" i="2" l="1"/>
  <c r="Q40" i="2"/>
  <c r="Q23" i="2"/>
  <c r="Q22" i="2"/>
  <c r="Q21" i="2"/>
  <c r="Q42" i="2"/>
  <c r="Q39" i="2"/>
  <c r="K14" i="7"/>
  <c r="G15" i="3"/>
  <c r="N15" i="3"/>
  <c r="Q29" i="2"/>
  <c r="Q44" i="2"/>
  <c r="Q25" i="2"/>
  <c r="Q19" i="2"/>
  <c r="Q20" i="2"/>
  <c r="Q37" i="2"/>
  <c r="Q24" i="2"/>
  <c r="Q13" i="2"/>
  <c r="Q11" i="2"/>
  <c r="Q35" i="2"/>
  <c r="Q34" i="2"/>
  <c r="Q16" i="2"/>
  <c r="Q31" i="2"/>
  <c r="Q15" i="2"/>
  <c r="Q32" i="2"/>
  <c r="Q17" i="2"/>
  <c r="Q18" i="2"/>
  <c r="Q14" i="2"/>
  <c r="Q43" i="2"/>
  <c r="Q38" i="2"/>
  <c r="Q33" i="2"/>
  <c r="Q36" i="2"/>
  <c r="Q30" i="2"/>
  <c r="A41" i="4" s="1"/>
  <c r="H46" i="7"/>
  <c r="G11" i="6" s="1"/>
  <c r="G50" i="7"/>
  <c r="I10" i="2"/>
  <c r="H28" i="7"/>
  <c r="G44" i="7"/>
  <c r="L14" i="7" l="1"/>
  <c r="P53" i="7" s="1"/>
  <c r="I47" i="2"/>
  <c r="I48" i="2" s="1"/>
  <c r="H47" i="7"/>
  <c r="G10" i="6" s="1"/>
  <c r="H15" i="3"/>
  <c r="P15" i="3" s="1"/>
  <c r="O15" i="3"/>
  <c r="G13" i="6"/>
  <c r="I50" i="2"/>
  <c r="I49" i="2"/>
  <c r="I28" i="7"/>
  <c r="H44" i="7"/>
  <c r="G14" i="6" l="1"/>
  <c r="D27" i="6" s="1"/>
  <c r="G48" i="6"/>
  <c r="H48" i="7" s="1"/>
  <c r="H41" i="7" s="1"/>
  <c r="H36" i="6"/>
  <c r="J28" i="7"/>
  <c r="I44" i="7"/>
  <c r="D20" i="6" l="1"/>
  <c r="E20" i="6" s="1"/>
  <c r="F20" i="6" s="1"/>
  <c r="D26" i="6"/>
  <c r="H33" i="6" s="1"/>
  <c r="H49" i="6" s="1"/>
  <c r="I16" i="7" s="1"/>
  <c r="J30" i="7" s="1"/>
  <c r="J29" i="7" s="1"/>
  <c r="I15" i="7"/>
  <c r="H49" i="7"/>
  <c r="I46" i="7" s="1"/>
  <c r="H11" i="6" s="1"/>
  <c r="H35" i="6"/>
  <c r="H50" i="6" s="1"/>
  <c r="J12" i="2" s="1"/>
  <c r="H34" i="6"/>
  <c r="K28" i="7"/>
  <c r="J44" i="7"/>
  <c r="K44" i="7" l="1"/>
  <c r="L28" i="7"/>
  <c r="L44" i="7" s="1"/>
  <c r="H50" i="7"/>
  <c r="J10" i="2"/>
  <c r="J47" i="2" l="1"/>
  <c r="J48" i="2" s="1"/>
  <c r="I47" i="7"/>
  <c r="H10" i="6" s="1"/>
  <c r="H13" i="6" s="1"/>
  <c r="H14" i="6" s="1"/>
  <c r="E27" i="6" s="1"/>
  <c r="E21" i="6"/>
  <c r="F21" i="6" s="1"/>
  <c r="H48" i="6"/>
  <c r="I48" i="7" s="1"/>
  <c r="I49" i="7" s="1"/>
  <c r="J50" i="2"/>
  <c r="J49" i="2"/>
  <c r="E26" i="6" l="1"/>
  <c r="I35" i="6"/>
  <c r="I50" i="6" s="1"/>
  <c r="I36" i="6"/>
  <c r="J46" i="7"/>
  <c r="I11" i="6" s="1"/>
  <c r="I50" i="7"/>
  <c r="I41" i="7"/>
  <c r="I33" i="6"/>
  <c r="I49" i="6" s="1"/>
  <c r="J16" i="7" s="1"/>
  <c r="K30" i="7" s="1"/>
  <c r="K29" i="7" s="1"/>
  <c r="I34" i="6"/>
  <c r="K12" i="2" l="1"/>
  <c r="K10" i="2" s="1"/>
  <c r="J15" i="7"/>
  <c r="J47" i="7" s="1"/>
  <c r="K47" i="2"/>
  <c r="I10" i="6"/>
  <c r="I13" i="6" s="1"/>
  <c r="I14" i="6" s="1"/>
  <c r="F27" i="6" s="1"/>
  <c r="K48" i="2" l="1"/>
  <c r="K50" i="2" s="1"/>
  <c r="F26" i="6"/>
  <c r="K49" i="2"/>
  <c r="J36" i="6"/>
  <c r="I48" i="6"/>
  <c r="J48" i="7" s="1"/>
  <c r="J41" i="7" s="1"/>
  <c r="F22" i="6"/>
  <c r="J33" i="6" l="1"/>
  <c r="J49" i="6" s="1"/>
  <c r="K16" i="7" s="1"/>
  <c r="L30" i="7" s="1"/>
  <c r="L29" i="7" s="1"/>
  <c r="J34" i="6"/>
  <c r="J35" i="6"/>
  <c r="J50" i="6" s="1"/>
  <c r="J49" i="7"/>
  <c r="L12" i="2" l="1"/>
  <c r="Q12" i="2" s="1"/>
  <c r="K15" i="7"/>
  <c r="L10" i="2"/>
  <c r="A35" i="4" s="1"/>
  <c r="K46" i="7"/>
  <c r="J50" i="7"/>
  <c r="J11" i="6" l="1"/>
  <c r="P46" i="7"/>
  <c r="K47" i="7"/>
  <c r="Q10" i="2"/>
  <c r="L47" i="2"/>
  <c r="A36" i="4" l="1"/>
  <c r="L48" i="2"/>
  <c r="J10" i="6"/>
  <c r="J13" i="6" s="1"/>
  <c r="L50" i="2"/>
  <c r="A39" i="4" s="1" a="1"/>
  <c r="A39" i="4" s="1"/>
  <c r="Q47" i="2"/>
  <c r="L49" i="2"/>
  <c r="A37" i="4" s="1" a="1"/>
  <c r="A37" i="4" s="1"/>
  <c r="J14" i="6" l="1"/>
  <c r="Q48" i="2"/>
  <c r="A38" i="4"/>
  <c r="G26" i="6" l="1"/>
  <c r="G27" i="6"/>
  <c r="J48" i="6"/>
  <c r="K48" i="7" s="1"/>
  <c r="Q50" i="2"/>
  <c r="K49" i="7" l="1"/>
  <c r="P49" i="7" s="1"/>
  <c r="K41" i="7"/>
  <c r="K35" i="6"/>
  <c r="K50" i="6" s="1"/>
  <c r="M12" i="2" s="1"/>
  <c r="M10" i="2" s="1"/>
  <c r="M47" i="2" s="1"/>
  <c r="M48" i="2" s="1"/>
  <c r="K36" i="6"/>
  <c r="K34" i="6"/>
  <c r="K33" i="6"/>
  <c r="K49" i="6" s="1"/>
  <c r="L16" i="7" s="1"/>
  <c r="L15" i="7" s="1"/>
  <c r="L47" i="7" s="1"/>
  <c r="K10" i="6" s="1"/>
  <c r="C49" i="2"/>
  <c r="B25" i="7"/>
  <c r="M50" i="2" l="1"/>
  <c r="M49" i="2"/>
  <c r="A48" i="4" a="1"/>
  <c r="A48" i="4" s="1"/>
  <c r="K50" i="7"/>
  <c r="P50" i="7" s="1"/>
  <c r="L46" i="7"/>
  <c r="O49" i="2"/>
  <c r="Q49" i="2"/>
  <c r="C56" i="7"/>
  <c r="D56" i="7" s="1"/>
  <c r="E56" i="7" s="1"/>
  <c r="G56" i="7" s="1"/>
  <c r="H56" i="7" s="1"/>
  <c r="I56" i="7" s="1"/>
  <c r="J56" i="7" s="1"/>
  <c r="K56" i="7" s="1"/>
  <c r="A44" i="4" s="1"/>
  <c r="B52" i="7"/>
  <c r="B55" i="7" l="1"/>
  <c r="B54" i="7"/>
  <c r="K11" i="6"/>
  <c r="K13" i="6" s="1"/>
  <c r="C52" i="7"/>
  <c r="L56" i="7"/>
  <c r="C55" i="7" l="1"/>
  <c r="C54" i="7"/>
  <c r="K14" i="6"/>
  <c r="K48" i="6" s="1"/>
  <c r="L48" i="7" s="1"/>
  <c r="D52" i="7"/>
  <c r="D55" i="7" l="1"/>
  <c r="D54" i="7"/>
  <c r="L41" i="7"/>
  <c r="L49" i="7"/>
  <c r="L50" i="7" s="1"/>
  <c r="E52" i="7"/>
  <c r="E55" i="7" l="1"/>
  <c r="E54" i="7"/>
  <c r="G52" i="7"/>
  <c r="N52" i="7"/>
  <c r="N55" i="7"/>
  <c r="B4" i="4"/>
  <c r="A22" i="4" s="1" a="1"/>
  <c r="A22" i="4" s="1"/>
  <c r="A24" i="4"/>
  <c r="G55" i="7" l="1"/>
  <c r="G54" i="7"/>
  <c r="N54" i="7"/>
  <c r="H52" i="7"/>
  <c r="H55" i="7" l="1"/>
  <c r="H54" i="7"/>
  <c r="I52" i="7"/>
  <c r="I55" i="7" l="1"/>
  <c r="I54" i="7"/>
  <c r="J52" i="7"/>
  <c r="J55" i="7" l="1"/>
  <c r="J54" i="7"/>
  <c r="K52" i="7"/>
  <c r="O12" i="2"/>
  <c r="C26" i="2"/>
  <c r="K55" i="7" l="1"/>
  <c r="K54" i="7"/>
  <c r="P52" i="7"/>
  <c r="B30" i="4"/>
  <c r="A45" i="4" s="1" a="1"/>
  <c r="A45" i="4" s="1"/>
  <c r="L52" i="7"/>
  <c r="A47" i="4"/>
  <c r="O26" i="2"/>
  <c r="A17" i="4" s="1"/>
  <c r="Q26" i="2"/>
  <c r="A40" i="4" s="1"/>
  <c r="L55" i="7" l="1"/>
  <c r="L54" i="7"/>
  <c r="P54" i="7"/>
  <c r="P55"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<sst xmlns="http://schemas.openxmlformats.org/spreadsheetml/2006/main" count="176" uniqueCount="137">
  <si>
    <t>INFORMATIONS GENERALES</t>
  </si>
  <si>
    <t xml:space="preserve">Nom de la collectivité : </t>
  </si>
  <si>
    <t xml:space="preserve">Année de départ de l'analyse rétrospective : </t>
  </si>
  <si>
    <t>Unité de référence pour l'analyse</t>
  </si>
  <si>
    <t>en milliers d'euros</t>
  </si>
  <si>
    <t xml:space="preserve">Nombre d'habitants : </t>
  </si>
  <si>
    <t>en %</t>
  </si>
  <si>
    <t>DEPENSES ET RECETTES A PRENDRE EN COMPTE DANS L'ANALYSE</t>
  </si>
  <si>
    <t>SECTION DE FONCTIONNEMENT</t>
  </si>
  <si>
    <t>Charges de personnel</t>
  </si>
  <si>
    <t>Charges financières (intérêts de la dette)</t>
  </si>
  <si>
    <t>Autres dépenses réelles de fonctionnement</t>
  </si>
  <si>
    <t>Autres recettes réelles de fonctionnement</t>
  </si>
  <si>
    <t>SECTION D'INVESTISSEMENT</t>
  </si>
  <si>
    <t>Remboursement du capital la dette</t>
  </si>
  <si>
    <t>FCTVA</t>
  </si>
  <si>
    <t>Emprunts nouveaux</t>
  </si>
  <si>
    <t>Autres dépenses d'investissement</t>
  </si>
  <si>
    <t>Autres recettes d'investissement</t>
  </si>
  <si>
    <t>PERIODE DE COMPARAISON</t>
  </si>
  <si>
    <t>Année 1</t>
  </si>
  <si>
    <t>Année 2</t>
  </si>
  <si>
    <t>en euros</t>
  </si>
  <si>
    <t>en millions d'euros</t>
  </si>
  <si>
    <t>Ou Excédent reporté=Article 002 (résultat fonctionnement reporté)</t>
  </si>
  <si>
    <t>&lt;&lt;&lt;&lt;&lt;&lt;&lt;&lt;&lt;RETROSPECTIVE&lt;&lt;&lt;&lt;&lt;&lt;&lt;&lt;&lt;&lt;</t>
  </si>
  <si>
    <t>&gt;&gt;&gt;&gt;&gt;&gt;&gt;&gt;&gt;&gt;&gt;&gt;&gt;&gt;&gt;&gt;&gt;&gt;PROSPECTIVE&gt;&gt;&gt;&gt;&gt;&gt;&gt;&gt;&gt;&gt;&gt;&gt;&gt;&gt;&gt;&gt;&gt;&gt;</t>
  </si>
  <si>
    <t>DEPENSES RELLES DE FONCTIONNEMENT</t>
  </si>
  <si>
    <t>Hypothèse 
prospective</t>
  </si>
  <si>
    <t xml:space="preserve">Total des dépenses réelles de fonctionnement </t>
  </si>
  <si>
    <t>Oui</t>
  </si>
  <si>
    <t>Non</t>
  </si>
  <si>
    <t>RECETTES RELLES DE FONCTIONNEMENT</t>
  </si>
  <si>
    <t>Hypothèse prospective</t>
  </si>
  <si>
    <t xml:space="preserve">Total des recettes réelles de fonctionnement </t>
  </si>
  <si>
    <t>Capacité d'autofinancement brute</t>
  </si>
  <si>
    <t>Capacité d'autofinancement nette</t>
  </si>
  <si>
    <t>Taux d'épargne brute</t>
  </si>
  <si>
    <t>VARIATIONS DE LA SECTION DE FONCTIONNEMENT</t>
  </si>
  <si>
    <t>HYPOTHESES (en % d'évolution)</t>
  </si>
  <si>
    <t>Type de dépense ou recette</t>
  </si>
  <si>
    <t xml:space="preserve">Total impact annuel cumulé  </t>
  </si>
  <si>
    <t>REPRISE DES EXCEDENTS OU DEFICITS DE LA SECTION</t>
  </si>
  <si>
    <t>Total des recettes réelles d'investissement</t>
  </si>
  <si>
    <t>Total des recettes réelles d'investissement hors excédents reportés</t>
  </si>
  <si>
    <t>DEPENSES RELLES D'INVESTISSEMENT</t>
  </si>
  <si>
    <t>Eligible
 FCTVA</t>
  </si>
  <si>
    <t>Total des dépenses réelles d'investissement</t>
  </si>
  <si>
    <t>Autres dépenses réelles d'investissement</t>
  </si>
  <si>
    <t>RECETTES RELLES D'INVESTISSEMENT</t>
  </si>
  <si>
    <t>Nouvel emprunt</t>
  </si>
  <si>
    <t>Financement des investissements (réserves et emprunts nouveaux)</t>
  </si>
  <si>
    <t>Fonds de roulement au 01/01 (réserve) - A</t>
  </si>
  <si>
    <t>Besoin ou capacité annuel de financement - B</t>
  </si>
  <si>
    <t>Emprunt nouveau - C</t>
  </si>
  <si>
    <t>Fonds de roulement au 31/12/ =(A-B+C)</t>
  </si>
  <si>
    <t>Fonds de roulement sans emprunt nouveau =(A-B)</t>
  </si>
  <si>
    <t>Indicateurs sur la dette</t>
  </si>
  <si>
    <t>En cours de dette au 31/12/</t>
  </si>
  <si>
    <t>Nombre d'habitants</t>
  </si>
  <si>
    <t>En cours de dette par habitant</t>
  </si>
  <si>
    <t>Capacité dynamique de désendettement</t>
  </si>
  <si>
    <t>Cumul des investissement</t>
  </si>
  <si>
    <t>ECHEANCES DE LA DETTE ACTUELLE</t>
  </si>
  <si>
    <t>Remboursement du capital des emprunts déjà contractés</t>
  </si>
  <si>
    <t>Intérêts (charge financière)</t>
  </si>
  <si>
    <t>CALCUL ET MODALITE DU RECOURS A L'EMPRUNT NOUVEAU</t>
  </si>
  <si>
    <t>Besoin de financement des investissements</t>
  </si>
  <si>
    <t>Fonds de roulement au 01/01</t>
  </si>
  <si>
    <t>Seuil minimul souhaité du fonds de roulement au 31/12</t>
  </si>
  <si>
    <t>Besoin d'emprint</t>
  </si>
  <si>
    <t>Besoin d'emprunt (calcul automatique)</t>
  </si>
  <si>
    <t>Durée du nouvel emprunt (en années)</t>
  </si>
  <si>
    <t>Taux estimé du nouvel emprunt (en %)</t>
  </si>
  <si>
    <t>Evolution du capital restant du par emprunt</t>
  </si>
  <si>
    <t>Calcul de l'impact de la nouvelle dette</t>
  </si>
  <si>
    <t>Remboursement Capital nouvelle date</t>
  </si>
  <si>
    <t>Intérêts</t>
  </si>
  <si>
    <t>Mode de reprise des données (saisie automatique recommandée)</t>
  </si>
  <si>
    <t>Saisie automatique</t>
  </si>
  <si>
    <t>CALCUL AUTOMATIQUE - DETTE NOUVELLE</t>
  </si>
  <si>
    <t>Remboursement du capital des emprunts</t>
  </si>
  <si>
    <t xml:space="preserve"> Dont impact de la nouvelle dette (prospective)</t>
  </si>
  <si>
    <t>SAISIE MANUELLE - DETTE NOUVELLE</t>
  </si>
  <si>
    <t>Montant des nouveau emprunts</t>
  </si>
  <si>
    <t>Saisie manuelle</t>
  </si>
  <si>
    <t>Nouvel Emprunt</t>
  </si>
  <si>
    <t>Rmbst Capital</t>
  </si>
  <si>
    <t>Rmbst Intérêt</t>
  </si>
  <si>
    <t>Objet</t>
  </si>
  <si>
    <t>LA SECTION DE FONCTIONNEMENT</t>
  </si>
  <si>
    <t>LES INVESTISSEMENTS ET LEUR FINANCEMENT</t>
  </si>
  <si>
    <t>Variation de la dette</t>
  </si>
  <si>
    <t xml:space="preserve">Variation de la dette </t>
  </si>
  <si>
    <t>Indicateur</t>
  </si>
  <si>
    <t>Option 1 : recommandée</t>
  </si>
  <si>
    <t>N° du scénario</t>
  </si>
  <si>
    <t>&gt;Pratique si plusieurs scénarios envisagés</t>
  </si>
  <si>
    <t>Evolution annuelle du nombre d'habitants (estimation)</t>
  </si>
  <si>
    <t>ElanVision - Version n°1</t>
  </si>
  <si>
    <t>RETRAIT DES EXCEDENTS DE FONCTIONNEMENT</t>
  </si>
  <si>
    <t>Montant annuel de la dépense</t>
  </si>
  <si>
    <t>Montant annuel de la recette</t>
  </si>
  <si>
    <t>REPRISE DE L'EXCEDENT OU DEFICIT</t>
  </si>
  <si>
    <t>Déficit reporté=Article 002 (résultat fonctionnement reporté)</t>
  </si>
  <si>
    <t>Capacité d'autofinancement brute (hors non récurent)</t>
  </si>
  <si>
    <t>Récurrent</t>
  </si>
  <si>
    <t>RECOURS A LA DETTE ET REMBOURSEMENT DES ANNUITES</t>
  </si>
  <si>
    <t>&gt;Il est recommandé de conserver l'unité en "milliers d'euros"</t>
  </si>
  <si>
    <t>dont Article 1068 (recette)</t>
  </si>
  <si>
    <t>ANALYSE / INDICATEURS DU FONCTIONNEMENT</t>
  </si>
  <si>
    <t>ANALYSE / INDICATEURS FINANCEMENT DES INVESTISSEMENTS</t>
  </si>
  <si>
    <t>A saisir</t>
  </si>
  <si>
    <t>Dépense (déficit antérieur d'investissement) : Article 001</t>
  </si>
  <si>
    <t>Recette (excédent antérieur) : Article 001</t>
  </si>
  <si>
    <t>COMMENTAIRES COMPLEMENTAIRES</t>
  </si>
  <si>
    <t>Inserez-ici, si vous le souhaitez, des commentaires complémentaires à intégrer au rapport.</t>
  </si>
  <si>
    <t>cf module Dette</t>
  </si>
  <si>
    <t>Dépenses à analyser</t>
  </si>
  <si>
    <t>Recettes à analyser</t>
  </si>
  <si>
    <r>
      <rPr>
        <i/>
        <sz val="8"/>
        <color theme="1"/>
        <rFont val="Aptos Narrow"/>
        <family val="2"/>
      </rPr>
      <t>&gt;</t>
    </r>
    <r>
      <rPr>
        <i/>
        <sz val="8"/>
        <color theme="1"/>
        <rFont val="Ebrima"/>
      </rPr>
      <t>Il est recommandé d'indiquer la population DGF</t>
    </r>
  </si>
  <si>
    <t>&gt;Saisir ce champ si l'article 001 est constaté en dépense (déficit)</t>
  </si>
  <si>
    <t>&gt;Saisir ce champ si l'article 001 est constaté en recette (excédent).</t>
  </si>
  <si>
    <t>&gt;Saisir ce champ si l'article 002 est en recette (excédent).</t>
  </si>
  <si>
    <t>&gt;Saisir ce champ si l'article 002 est en dépenses (déficit)</t>
  </si>
  <si>
    <t>&lt;&lt;&lt; Deux options  possibles (à selectionner en cliquant sur la cellule)</t>
  </si>
  <si>
    <t>PROJETS OU GROSSES VARIATIONS EN SECTION DE FONCTIONNEMENT</t>
  </si>
  <si>
    <t>Gel</t>
  </si>
  <si>
    <t>Inflation mesurée</t>
  </si>
  <si>
    <t>Inflation plus importante</t>
  </si>
  <si>
    <t>Evolution des bases fiscales</t>
  </si>
  <si>
    <t>Evolution Fluides</t>
  </si>
  <si>
    <t>Evolution charge RH</t>
  </si>
  <si>
    <t>Evolution des dotations</t>
  </si>
  <si>
    <t xml:space="preserve">A compléter ! </t>
  </si>
  <si>
    <t>Ou Option 2 : non recommandée</t>
  </si>
  <si>
    <r>
      <rPr>
        <sz val="9"/>
        <color rgb="FFBF11A6"/>
        <rFont val="Aptos Narrow"/>
        <family val="2"/>
      </rPr>
      <t>&gt;</t>
    </r>
    <r>
      <rPr>
        <i/>
        <sz val="9"/>
        <color rgb="FFBF11A6"/>
        <rFont val="Ebrima"/>
      </rPr>
      <t>Les éléments pré-saisis (en violet) sont "figés"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</si>
</sst>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60" x14ac:knownFonts="1">
    <font>
      <sz val="11"/>
      <color theme="1"/>
      <name val="Calibri"/>
      <family val="2"/>
      <scheme val="minor"/>
    </font>
    <font>
      <sz val="10"/>
      <color theme="1"/>
      <name val="Ebrima"/>
    </font>
    <font>
      <b/>
      <sz val="10"/>
      <color theme="1"/>
      <name val="Ebrima"/>
    </font>
    <font>
      <u/>
      <sz val="10"/>
      <color theme="1"/>
      <name val="Ebrima"/>
    </font>
    <font>
      <sz val="11"/>
      <color theme="1"/>
      <name val="Calibri"/>
      <family val="2"/>
      <scheme val="minor"/>
    </font>
    <font>
      <b/>
      <sz val="11"/>
      <color theme="1"/>
      <name val="Ebrima"/>
    </font>
    <font>
      <b/>
      <sz val="14"/>
      <color theme="1"/>
      <name val="Ebrima"/>
    </font>
    <font>
      <sz val="11"/>
      <color theme="1"/>
      <name val="Ebrima"/>
    </font>
    <font>
      <b/>
      <sz val="10.5"/>
      <color theme="1"/>
      <name val="Ebrima"/>
    </font>
    <font>
      <b/>
      <u/>
      <sz val="11"/>
      <color theme="1"/>
      <name val="Ebrima"/>
    </font>
    <font>
      <b/>
      <sz val="9"/>
      <color theme="1"/>
      <name val="Ebrima"/>
    </font>
    <font>
      <b/>
      <sz val="10"/>
      <color rgb="FFFF0000"/>
      <name val="Ebrima"/>
    </font>
    <font>
      <b/>
      <sz val="11"/>
      <name val="Ebrima"/>
    </font>
    <font>
      <i/>
      <sz val="10"/>
      <color theme="1"/>
      <name val="Ebrima"/>
    </font>
    <font>
      <sz val="10"/>
      <color rgb="FFFF0000"/>
      <name val="Ebrima"/>
    </font>
    <font>
      <i/>
      <sz val="8"/>
      <color theme="1"/>
      <name val="Ebrima"/>
    </font>
    <font>
      <i/>
      <u/>
      <sz val="10"/>
      <color theme="1"/>
      <name val="Ebrima"/>
    </font>
    <font>
      <b/>
      <i/>
      <u/>
      <sz val="11"/>
      <color theme="1"/>
      <name val="Ebrima"/>
    </font>
    <font>
      <i/>
      <u/>
      <sz val="11"/>
      <color theme="1"/>
      <name val="Ebrima"/>
    </font>
    <font>
      <sz val="8"/>
      <color theme="1"/>
      <name val="Ebrima"/>
    </font>
    <font>
      <sz val="10"/>
      <name val="Ebrima"/>
    </font>
    <font>
      <b/>
      <u/>
      <sz val="11"/>
      <name val="Ebrima"/>
    </font>
    <font>
      <b/>
      <sz val="11"/>
      <color rgb="FFFF0000"/>
      <name val="Ebrima"/>
    </font>
    <font>
      <i/>
      <sz val="10"/>
      <name val="Ebrima"/>
    </font>
    <font>
      <sz val="8"/>
      <color rgb="FFFF0000"/>
      <name val="Ebrima"/>
    </font>
    <font>
      <b/>
      <u/>
      <sz val="10"/>
      <color theme="1"/>
      <name val="Ebrima"/>
    </font>
    <font>
      <sz val="11"/>
      <color rgb="FFFF0000"/>
      <name val="Ebrima"/>
    </font>
    <font>
      <u/>
      <sz val="11"/>
      <color theme="1"/>
      <name val="Ebrima"/>
    </font>
    <font>
      <sz val="9"/>
      <color theme="1"/>
      <name val="Ebrima"/>
    </font>
    <font>
      <sz val="9"/>
      <color rgb="FFFF0000"/>
      <name val="Ebrima"/>
    </font>
    <font>
      <b/>
      <sz val="10.5"/>
      <color theme="0"/>
      <name val="Ebrima"/>
    </font>
    <font>
      <b/>
      <sz val="14"/>
      <color theme="0"/>
      <name val="Ebrima"/>
    </font>
    <font>
      <sz val="10.5"/>
      <color theme="0"/>
      <name val="Ebrima"/>
    </font>
    <font>
      <i/>
      <sz val="10"/>
      <color theme="0"/>
      <name val="Ebrima"/>
    </font>
    <font>
      <b/>
      <sz val="8"/>
      <color rgb="FF2B956A"/>
      <name val="Ebrima"/>
    </font>
    <font>
      <b/>
      <sz val="12"/>
      <color theme="0"/>
      <name val="Ebrima"/>
    </font>
    <font>
      <b/>
      <sz val="11"/>
      <color theme="0"/>
      <name val="Ebrima"/>
    </font>
    <font>
      <sz val="11"/>
      <color rgb="FF002060"/>
      <name val="Ebrima"/>
    </font>
    <font>
      <sz val="10"/>
      <color rgb="FFE6F3FE"/>
      <name val="Ebrima"/>
    </font>
    <font>
      <sz val="11"/>
      <color rgb="FFC00000"/>
      <name val="Ebrima"/>
    </font>
    <font>
      <b/>
      <sz val="11"/>
      <color rgb="FFC00000"/>
      <name val="Ebrima"/>
    </font>
    <font>
      <b/>
      <sz val="10"/>
      <color theme="0"/>
      <name val="Ebrima"/>
    </font>
    <font>
      <sz val="9"/>
      <color theme="0"/>
      <name val="Ebrima"/>
    </font>
    <font>
      <sz val="10"/>
      <color theme="0"/>
      <name val="Ebrima"/>
    </font>
    <font>
      <b/>
      <sz val="11"/>
      <color theme="8" tint="-0.249977111117893"/>
      <name val="Ebrima"/>
    </font>
    <font>
      <i/>
      <sz val="10"/>
      <color rgb="FFBF11A6"/>
      <name val="Ebrima"/>
    </font>
    <font>
      <b/>
      <u/>
      <sz val="12"/>
      <color theme="1"/>
      <name val="Ebrima"/>
    </font>
    <font>
      <i/>
      <sz val="9"/>
      <color theme="1"/>
      <name val="Ebrima"/>
    </font>
    <font>
      <i/>
      <sz val="11"/>
      <color theme="1"/>
      <name val="Ebrima"/>
    </font>
    <font>
      <b/>
      <sz val="12"/>
      <color theme="1"/>
      <name val="Ebrima"/>
    </font>
    <font>
      <b/>
      <sz val="13"/>
      <color theme="0"/>
      <name val="Ebrima"/>
    </font>
    <font>
      <i/>
      <sz val="9"/>
      <name val="Ebrima"/>
    </font>
    <font>
      <i/>
      <sz val="8"/>
      <color theme="1"/>
      <name val="Aptos Narrow"/>
      <family val="2"/>
    </font>
    <font>
      <b/>
      <i/>
      <u/>
      <sz val="9"/>
      <color theme="1"/>
      <name val="Ebrima"/>
    </font>
    <font>
      <sz val="10"/>
      <color rgb="FFBF11A6"/>
      <name val="Ebrima"/>
    </font>
    <font>
      <sz val="8"/>
      <color rgb="FFBF11A6"/>
      <name val="Ebrima"/>
    </font>
    <font>
      <sz val="10"/>
      <color theme="1"/>
      <name val="Calibri"/>
      <family val="2"/>
      <scheme val="minor"/>
    </font>
    <font>
      <i/>
      <sz val="9"/>
      <color rgb="FFBF11A6"/>
      <name val="Ebrima"/>
    </font>
    <font>
      <sz val="9"/>
      <color rgb="FFBF11A6"/>
      <name val="Aptos Narrow"/>
      <family val="2"/>
    </font>
    <font>
      <i/>
      <sz val="9"/>
      <color rgb="FFBF11A6"/>
      <name val="Ebrima"/>
      <family val="2"/>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0F0F0"/>
        <bgColor indexed="64"/>
      </patternFill>
    </fill>
    <fill>
      <patternFill patternType="solid">
        <fgColor rgb="FFEAEAEA"/>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E6F3FE"/>
        <bgColor indexed="64"/>
      </patternFill>
    </fill>
    <fill>
      <patternFill patternType="solid">
        <fgColor rgb="FFECFEF5"/>
        <bgColor indexed="64"/>
      </patternFill>
    </fill>
    <fill>
      <patternFill patternType="solid">
        <fgColor rgb="FFFEFFF7"/>
        <bgColor indexed="64"/>
      </patternFill>
    </fill>
    <fill>
      <patternFill patternType="solid">
        <fgColor rgb="FFFCFFE7"/>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rgb="FF0070C0"/>
        <bgColor indexed="64"/>
      </patternFill>
    </fill>
    <fill>
      <patternFill patternType="solid">
        <fgColor rgb="FF2B956A"/>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5" tint="0.59999389629810485"/>
        <bgColor indexed="64"/>
      </patternFill>
    </fill>
  </fills>
  <borders count="181">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dashDotDot">
        <color indexed="64"/>
      </bottom>
      <diagonal/>
    </border>
    <border>
      <left style="hair">
        <color indexed="64"/>
      </left>
      <right style="hair">
        <color indexed="64"/>
      </right>
      <top style="medium">
        <color indexed="64"/>
      </top>
      <bottom style="dashDotDot">
        <color indexed="64"/>
      </bottom>
      <diagonal/>
    </border>
    <border>
      <left style="hair">
        <color indexed="64"/>
      </left>
      <right style="medium">
        <color indexed="64"/>
      </right>
      <top style="medium">
        <color indexed="64"/>
      </top>
      <bottom style="dashDotDot">
        <color indexed="64"/>
      </bottom>
      <diagonal/>
    </border>
    <border>
      <left/>
      <right style="hair">
        <color indexed="64"/>
      </right>
      <top style="medium">
        <color indexed="64"/>
      </top>
      <bottom style="dashDotDot">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dashDotDot">
        <color indexed="64"/>
      </right>
      <top style="medium">
        <color indexed="64"/>
      </top>
      <bottom style="dashDotDot">
        <color indexed="64"/>
      </bottom>
      <diagonal/>
    </border>
    <border>
      <left style="hair">
        <color indexed="64"/>
      </left>
      <right style="dashDotDot">
        <color indexed="64"/>
      </right>
      <top/>
      <bottom style="hair">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dashDotDot">
        <color indexed="64"/>
      </bottom>
      <diagonal/>
    </border>
    <border>
      <left style="medium">
        <color indexed="64"/>
      </left>
      <right/>
      <top style="medium">
        <color indexed="64"/>
      </top>
      <bottom style="dashDotDot">
        <color indexed="64"/>
      </bottom>
      <diagonal/>
    </border>
    <border>
      <left style="medium">
        <color indexed="64"/>
      </left>
      <right/>
      <top style="dashDotDot">
        <color indexed="64"/>
      </top>
      <bottom style="hair">
        <color indexed="64"/>
      </bottom>
      <diagonal/>
    </border>
    <border>
      <left/>
      <right style="hair">
        <color indexed="64"/>
      </right>
      <top style="dashDotDot">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ashDotDot">
        <color indexed="64"/>
      </right>
      <top style="medium">
        <color indexed="64"/>
      </top>
      <bottom style="dashDotDot">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right style="medium">
        <color indexed="64"/>
      </right>
      <top/>
      <bottom/>
      <diagonal/>
    </border>
    <border>
      <left/>
      <right style="medium">
        <color indexed="64"/>
      </right>
      <top style="hair">
        <color indexed="64"/>
      </top>
      <bottom style="hair">
        <color indexed="64"/>
      </bottom>
      <diagonal/>
    </border>
    <border>
      <left/>
      <right/>
      <top style="medium">
        <color indexed="64"/>
      </top>
      <bottom style="dashDotDot">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dashDotDot">
        <color indexed="64"/>
      </right>
      <top style="hair">
        <color indexed="64"/>
      </top>
      <bottom style="thin">
        <color indexed="64"/>
      </bottom>
      <diagonal/>
    </border>
    <border>
      <left style="hair">
        <color indexed="64"/>
      </left>
      <right style="dashDotDot">
        <color indexed="64"/>
      </right>
      <top/>
      <bottom/>
      <diagonal/>
    </border>
    <border>
      <left/>
      <right/>
      <top style="thin">
        <color indexed="64"/>
      </top>
      <bottom/>
      <diagonal/>
    </border>
    <border>
      <left style="medium">
        <color indexed="64"/>
      </left>
      <right style="hair">
        <color indexed="64"/>
      </right>
      <top style="medium">
        <color indexed="64"/>
      </top>
      <bottom/>
      <diagonal/>
    </border>
    <border>
      <left style="hair">
        <color indexed="64"/>
      </left>
      <right style="dashDotDot">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64"/>
      </top>
      <bottom style="dashDotDot">
        <color indexed="64"/>
      </bottom>
      <diagonal/>
    </border>
    <border>
      <left style="medium">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dotted">
        <color indexed="64"/>
      </top>
      <bottom style="hair">
        <color indexed="64"/>
      </bottom>
      <diagonal/>
    </border>
    <border>
      <left/>
      <right style="medium">
        <color indexed="64"/>
      </right>
      <top style="dotted">
        <color indexed="64"/>
      </top>
      <bottom style="hair">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style="dashDotDot">
        <color indexed="64"/>
      </left>
      <right style="dashDotDot">
        <color indexed="64"/>
      </right>
      <top style="dashDotDot">
        <color indexed="64"/>
      </top>
      <bottom style="hair">
        <color indexed="64"/>
      </bottom>
      <diagonal/>
    </border>
    <border>
      <left style="dashDotDot">
        <color indexed="64"/>
      </left>
      <right style="hair">
        <color indexed="64"/>
      </right>
      <top style="hair">
        <color indexed="64"/>
      </top>
      <bottom style="hair">
        <color indexed="64"/>
      </bottom>
      <diagonal/>
    </border>
    <border>
      <left style="dashDotDot">
        <color indexed="64"/>
      </left>
      <right style="hair">
        <color indexed="64"/>
      </right>
      <top style="hair">
        <color indexed="64"/>
      </top>
      <bottom style="medium">
        <color indexed="64"/>
      </bottom>
      <diagonal/>
    </border>
    <border diagonalUp="1">
      <left style="dashDotDot">
        <color indexed="64"/>
      </left>
      <right style="hair">
        <color indexed="64"/>
      </right>
      <top style="hair">
        <color indexed="64"/>
      </top>
      <bottom style="hair">
        <color indexed="64"/>
      </bottom>
      <diagonal style="dashDotDot">
        <color indexed="64"/>
      </diagonal>
    </border>
    <border diagonalUp="1">
      <left style="hair">
        <color indexed="64"/>
      </left>
      <right style="hair">
        <color indexed="64"/>
      </right>
      <top style="hair">
        <color indexed="64"/>
      </top>
      <bottom style="hair">
        <color indexed="64"/>
      </bottom>
      <diagonal style="dashDotDot">
        <color indexed="64"/>
      </diagonal>
    </border>
    <border diagonalUp="1">
      <left style="hair">
        <color indexed="64"/>
      </left>
      <right style="medium">
        <color indexed="64"/>
      </right>
      <top style="hair">
        <color indexed="64"/>
      </top>
      <bottom style="hair">
        <color indexed="64"/>
      </bottom>
      <diagonal style="dashDotDot">
        <color indexed="64"/>
      </diagonal>
    </border>
    <border>
      <left style="hair">
        <color indexed="64"/>
      </left>
      <right style="dashDotDot">
        <color indexed="64"/>
      </right>
      <top style="dashDotDot">
        <color indexed="64"/>
      </top>
      <bottom style="hair">
        <color indexed="64"/>
      </bottom>
      <diagonal/>
    </border>
    <border>
      <left style="dashDotDot">
        <color indexed="64"/>
      </left>
      <right style="hair">
        <color indexed="64"/>
      </right>
      <top style="dashDotDot">
        <color indexed="64"/>
      </top>
      <bottom style="hair">
        <color indexed="64"/>
      </bottom>
      <diagonal/>
    </border>
    <border>
      <left style="dashDotDot">
        <color indexed="64"/>
      </left>
      <right style="dashDot">
        <color indexed="64"/>
      </right>
      <top style="hair">
        <color indexed="64"/>
      </top>
      <bottom style="hair">
        <color indexed="64"/>
      </bottom>
      <diagonal/>
    </border>
    <border>
      <left style="dashDotDot">
        <color indexed="64"/>
      </left>
      <right style="dashDot">
        <color indexed="64"/>
      </right>
      <top style="hair">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style="dashDotDot">
        <color indexed="64"/>
      </left>
      <right style="hair">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dashDotDot">
        <color indexed="64"/>
      </bottom>
      <diagonal/>
    </border>
    <border>
      <left style="medium">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ashDotDot">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hair">
        <color indexed="64"/>
      </bottom>
      <diagonal/>
    </border>
    <border>
      <left style="hair">
        <color indexed="64"/>
      </left>
      <right/>
      <top/>
      <bottom/>
      <diagonal/>
    </border>
    <border>
      <left/>
      <right style="hair">
        <color indexed="64"/>
      </right>
      <top/>
      <bottom/>
      <diagonal/>
    </border>
    <border diagonalUp="1">
      <left/>
      <right/>
      <top/>
      <bottom/>
      <diagonal style="dotted">
        <color indexed="64"/>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hair">
        <color indexed="64"/>
      </right>
      <top style="medium">
        <color indexed="64"/>
      </top>
      <bottom style="hair">
        <color indexed="64"/>
      </bottom>
      <diagonal/>
    </border>
    <border diagonalUp="1">
      <left style="thin">
        <color indexed="64"/>
      </left>
      <right/>
      <top/>
      <bottom/>
      <diagonal style="dotted">
        <color indexed="64"/>
      </diagonal>
    </border>
    <border diagonalUp="1">
      <left/>
      <right style="thin">
        <color indexed="64"/>
      </right>
      <top/>
      <bottom/>
      <diagonal style="dotted">
        <color indexed="64"/>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thin">
        <color indexed="64"/>
      </right>
      <top style="medium">
        <color indexed="64"/>
      </top>
      <bottom/>
      <diagonal style="dotted">
        <color indexed="64"/>
      </diagonal>
    </border>
    <border diagonalUp="1">
      <left style="thin">
        <color indexed="64"/>
      </left>
      <right/>
      <top/>
      <bottom style="medium">
        <color indexed="64"/>
      </bottom>
      <diagonal style="dotted">
        <color indexed="64"/>
      </diagonal>
    </border>
    <border diagonalUp="1">
      <left/>
      <right/>
      <top/>
      <bottom style="medium">
        <color indexed="64"/>
      </bottom>
      <diagonal style="dotted">
        <color indexed="64"/>
      </diagonal>
    </border>
    <border diagonalUp="1">
      <left/>
      <right style="thin">
        <color indexed="64"/>
      </right>
      <top/>
      <bottom style="medium">
        <color indexed="64"/>
      </bottom>
      <diagonal style="dotted">
        <color indexed="64"/>
      </diagonal>
    </border>
    <border>
      <left style="medium">
        <color indexed="64"/>
      </left>
      <right style="hair">
        <color indexed="64"/>
      </right>
      <top style="medium">
        <color indexed="64"/>
      </top>
      <bottom style="hair">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ashDotDot">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dashDotDot">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DotDot">
        <color indexed="64"/>
      </left>
      <right style="dashDotDot">
        <color indexed="64"/>
      </right>
      <top style="medium">
        <color indexed="64"/>
      </top>
      <bottom/>
      <diagonal/>
    </border>
    <border>
      <left style="dashDotDot">
        <color indexed="64"/>
      </left>
      <right style="dashDotDot">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ashDotDot">
        <color indexed="64"/>
      </bottom>
      <diagonal/>
    </border>
    <border>
      <left style="medium">
        <color indexed="64"/>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4" fillId="0" borderId="0" applyFont="0" applyFill="0" applyBorder="0" applyAlignment="0" applyProtection="0"/>
  </cellStyleXfs>
  <cellXfs count="603">
    <xf numFmtId="0" fontId="0" fillId="0" borderId="0" xfId="0"/>
    <xf numFmtId="0" fontId="7" fillId="4" borderId="0" xfId="0" applyFont="1" applyFill="1"/>
    <xf numFmtId="0" fontId="1" fillId="7" borderId="0" xfId="0" applyFont="1" applyFill="1"/>
    <xf numFmtId="0" fontId="7" fillId="7" borderId="0" xfId="0" applyFont="1" applyFill="1"/>
    <xf numFmtId="0" fontId="8" fillId="8" borderId="52" xfId="0" applyFont="1" applyFill="1" applyBorder="1" applyAlignment="1">
      <alignment horizontal="center"/>
    </xf>
    <xf numFmtId="0" fontId="8" fillId="8" borderId="53" xfId="0" applyFont="1" applyFill="1" applyBorder="1" applyAlignment="1">
      <alignment horizontal="center"/>
    </xf>
    <xf numFmtId="0" fontId="8" fillId="8" borderId="51" xfId="0" applyFont="1" applyFill="1" applyBorder="1" applyAlignment="1">
      <alignment horizontal="center"/>
    </xf>
    <xf numFmtId="0" fontId="1" fillId="12" borderId="2" xfId="0" applyFont="1" applyFill="1" applyBorder="1"/>
    <xf numFmtId="0" fontId="7" fillId="12" borderId="2" xfId="0" applyFont="1" applyFill="1" applyBorder="1"/>
    <xf numFmtId="0" fontId="7" fillId="12" borderId="4" xfId="0" applyFont="1" applyFill="1" applyBorder="1"/>
    <xf numFmtId="0" fontId="2" fillId="12" borderId="6" xfId="0" applyFont="1" applyFill="1" applyBorder="1" applyAlignment="1">
      <alignment horizontal="center"/>
    </xf>
    <xf numFmtId="0" fontId="2" fillId="12" borderId="7" xfId="0" applyFont="1" applyFill="1" applyBorder="1" applyAlignment="1">
      <alignment horizontal="center"/>
    </xf>
    <xf numFmtId="0" fontId="2" fillId="12" borderId="8" xfId="0" applyFont="1" applyFill="1" applyBorder="1" applyAlignment="1">
      <alignment horizontal="center"/>
    </xf>
    <xf numFmtId="0" fontId="1" fillId="12" borderId="4" xfId="0" applyFont="1" applyFill="1" applyBorder="1"/>
    <xf numFmtId="0" fontId="7" fillId="4" borderId="81" xfId="0" applyFont="1" applyFill="1" applyBorder="1"/>
    <xf numFmtId="0" fontId="7" fillId="4" borderId="82" xfId="0" applyFont="1" applyFill="1" applyBorder="1"/>
    <xf numFmtId="0" fontId="7" fillId="4" borderId="83" xfId="0" applyFont="1" applyFill="1" applyBorder="1"/>
    <xf numFmtId="0" fontId="7" fillId="4" borderId="84" xfId="0" applyFont="1" applyFill="1" applyBorder="1"/>
    <xf numFmtId="0" fontId="7" fillId="4" borderId="67" xfId="0" applyFont="1" applyFill="1" applyBorder="1"/>
    <xf numFmtId="0" fontId="7" fillId="4" borderId="85" xfId="0" applyFont="1" applyFill="1" applyBorder="1"/>
    <xf numFmtId="1" fontId="3" fillId="12" borderId="1" xfId="0" applyNumberFormat="1" applyFont="1" applyFill="1" applyBorder="1"/>
    <xf numFmtId="1" fontId="1" fillId="12" borderId="1" xfId="0" applyNumberFormat="1" applyFont="1" applyFill="1" applyBorder="1"/>
    <xf numFmtId="1" fontId="3" fillId="12" borderId="11" xfId="0" applyNumberFormat="1" applyFont="1" applyFill="1" applyBorder="1"/>
    <xf numFmtId="3" fontId="7" fillId="4" borderId="61" xfId="0" applyNumberFormat="1" applyFont="1" applyFill="1" applyBorder="1"/>
    <xf numFmtId="3" fontId="7" fillId="4" borderId="62" xfId="0" applyNumberFormat="1" applyFont="1" applyFill="1" applyBorder="1"/>
    <xf numFmtId="3" fontId="7" fillId="4" borderId="50" xfId="0" applyNumberFormat="1" applyFont="1" applyFill="1" applyBorder="1"/>
    <xf numFmtId="3" fontId="7" fillId="4" borderId="55" xfId="0" applyNumberFormat="1" applyFont="1" applyFill="1" applyBorder="1"/>
    <xf numFmtId="3" fontId="7" fillId="4" borderId="57" xfId="0" applyNumberFormat="1" applyFont="1" applyFill="1" applyBorder="1"/>
    <xf numFmtId="3" fontId="7" fillId="4" borderId="58" xfId="0" applyNumberFormat="1" applyFont="1" applyFill="1" applyBorder="1"/>
    <xf numFmtId="0" fontId="2" fillId="7" borderId="0" xfId="0" applyFont="1" applyFill="1"/>
    <xf numFmtId="0" fontId="1" fillId="4" borderId="0" xfId="0" applyFont="1" applyFill="1" applyProtection="1">
      <protection hidden="1"/>
    </xf>
    <xf numFmtId="0" fontId="14" fillId="4" borderId="0" xfId="0" applyFont="1" applyFill="1" applyProtection="1">
      <protection hidden="1"/>
    </xf>
    <xf numFmtId="0" fontId="7" fillId="11" borderId="54" xfId="0" applyFont="1" applyFill="1" applyBorder="1" applyProtection="1">
      <protection hidden="1"/>
    </xf>
    <xf numFmtId="0" fontId="5" fillId="4" borderId="0" xfId="0" applyFont="1" applyFill="1" applyProtection="1">
      <protection hidden="1"/>
    </xf>
    <xf numFmtId="0" fontId="15" fillId="4" borderId="0" xfId="0" applyFont="1" applyFill="1" applyProtection="1">
      <protection hidden="1"/>
    </xf>
    <xf numFmtId="0" fontId="2" fillId="4" borderId="0" xfId="0" applyFont="1" applyFill="1" applyProtection="1">
      <protection hidden="1"/>
    </xf>
    <xf numFmtId="0" fontId="7" fillId="11" borderId="56" xfId="0" applyFont="1" applyFill="1" applyBorder="1" applyProtection="1">
      <protection hidden="1"/>
    </xf>
    <xf numFmtId="0" fontId="1" fillId="7" borderId="0" xfId="0" applyFont="1" applyFill="1" applyProtection="1">
      <protection hidden="1"/>
    </xf>
    <xf numFmtId="0" fontId="1" fillId="7" borderId="18" xfId="0" applyFont="1" applyFill="1" applyBorder="1" applyProtection="1">
      <protection hidden="1"/>
    </xf>
    <xf numFmtId="0" fontId="1" fillId="5" borderId="0" xfId="0" applyFont="1" applyFill="1" applyProtection="1">
      <protection hidden="1"/>
    </xf>
    <xf numFmtId="49" fontId="1" fillId="5" borderId="0" xfId="0" applyNumberFormat="1" applyFont="1" applyFill="1" applyProtection="1">
      <protection hidden="1"/>
    </xf>
    <xf numFmtId="3" fontId="1" fillId="5" borderId="0" xfId="0" applyNumberFormat="1" applyFont="1" applyFill="1" applyProtection="1">
      <protection hidden="1"/>
    </xf>
    <xf numFmtId="0" fontId="10" fillId="5" borderId="0" xfId="0" applyFont="1" applyFill="1" applyAlignment="1" applyProtection="1">
      <alignment horizontal="center" wrapText="1"/>
      <protection hidden="1"/>
    </xf>
    <xf numFmtId="0" fontId="2" fillId="9" borderId="23" xfId="0" applyFont="1" applyFill="1" applyBorder="1" applyAlignment="1" applyProtection="1">
      <alignment horizontal="center"/>
      <protection hidden="1"/>
    </xf>
    <xf numFmtId="0" fontId="2" fillId="9" borderId="39" xfId="0" applyFont="1" applyFill="1" applyBorder="1" applyAlignment="1" applyProtection="1">
      <alignment horizontal="center"/>
      <protection hidden="1"/>
    </xf>
    <xf numFmtId="3" fontId="17" fillId="12" borderId="35" xfId="0" applyNumberFormat="1" applyFont="1" applyFill="1" applyBorder="1" applyProtection="1">
      <protection hidden="1"/>
    </xf>
    <xf numFmtId="3" fontId="17" fillId="12" borderId="22" xfId="0" applyNumberFormat="1" applyFont="1" applyFill="1" applyBorder="1" applyProtection="1">
      <protection hidden="1"/>
    </xf>
    <xf numFmtId="3" fontId="9" fillId="12" borderId="24" xfId="0" applyNumberFormat="1" applyFont="1" applyFill="1" applyBorder="1" applyProtection="1">
      <protection hidden="1"/>
    </xf>
    <xf numFmtId="9" fontId="1" fillId="5" borderId="0" xfId="1" applyFont="1" applyFill="1" applyProtection="1">
      <protection hidden="1"/>
    </xf>
    <xf numFmtId="3" fontId="13" fillId="12" borderId="36" xfId="0" applyNumberFormat="1" applyFont="1" applyFill="1" applyBorder="1" applyProtection="1">
      <protection hidden="1"/>
    </xf>
    <xf numFmtId="3" fontId="13" fillId="12" borderId="1" xfId="0" applyNumberFormat="1" applyFont="1" applyFill="1" applyBorder="1" applyProtection="1">
      <protection hidden="1"/>
    </xf>
    <xf numFmtId="3" fontId="1" fillId="12" borderId="11" xfId="0" applyNumberFormat="1" applyFont="1" applyFill="1" applyBorder="1" applyProtection="1">
      <protection hidden="1"/>
    </xf>
    <xf numFmtId="3" fontId="1" fillId="12" borderId="87" xfId="0" applyNumberFormat="1" applyFont="1" applyFill="1" applyBorder="1" applyProtection="1">
      <protection hidden="1"/>
    </xf>
    <xf numFmtId="0" fontId="1" fillId="5" borderId="29" xfId="0" applyFont="1" applyFill="1" applyBorder="1" applyProtection="1">
      <protection hidden="1"/>
    </xf>
    <xf numFmtId="0" fontId="2" fillId="10" borderId="23" xfId="0" applyFont="1" applyFill="1" applyBorder="1" applyAlignment="1" applyProtection="1">
      <alignment horizontal="center"/>
      <protection hidden="1"/>
    </xf>
    <xf numFmtId="0" fontId="2" fillId="10" borderId="35" xfId="0" applyFont="1" applyFill="1" applyBorder="1" applyAlignment="1" applyProtection="1">
      <alignment horizontal="center"/>
      <protection hidden="1"/>
    </xf>
    <xf numFmtId="3" fontId="1" fillId="12" borderId="36" xfId="0" applyNumberFormat="1" applyFont="1" applyFill="1" applyBorder="1" applyProtection="1">
      <protection hidden="1"/>
    </xf>
    <xf numFmtId="3" fontId="1" fillId="12" borderId="1" xfId="0" applyNumberFormat="1" applyFont="1" applyFill="1" applyBorder="1" applyProtection="1">
      <protection hidden="1"/>
    </xf>
    <xf numFmtId="3" fontId="1" fillId="12" borderId="23" xfId="0" applyNumberFormat="1" applyFont="1" applyFill="1" applyBorder="1" applyProtection="1">
      <protection hidden="1"/>
    </xf>
    <xf numFmtId="3" fontId="1" fillId="12" borderId="22" xfId="0" applyNumberFormat="1" applyFont="1" applyFill="1" applyBorder="1" applyProtection="1">
      <protection hidden="1"/>
    </xf>
    <xf numFmtId="3" fontId="1" fillId="12" borderId="24" xfId="0" applyNumberFormat="1" applyFont="1" applyFill="1" applyBorder="1" applyProtection="1">
      <protection hidden="1"/>
    </xf>
    <xf numFmtId="3" fontId="1" fillId="12" borderId="10" xfId="0" applyNumberFormat="1" applyFont="1" applyFill="1" applyBorder="1" applyProtection="1">
      <protection hidden="1"/>
    </xf>
    <xf numFmtId="3" fontId="17" fillId="2" borderId="35" xfId="0" applyNumberFormat="1" applyFont="1" applyFill="1" applyBorder="1" applyProtection="1">
      <protection locked="0"/>
    </xf>
    <xf numFmtId="3" fontId="17" fillId="2" borderId="22" xfId="0" applyNumberFormat="1" applyFont="1" applyFill="1" applyBorder="1" applyProtection="1">
      <protection locked="0"/>
    </xf>
    <xf numFmtId="3" fontId="13" fillId="2" borderId="36" xfId="0" applyNumberFormat="1" applyFont="1" applyFill="1" applyBorder="1" applyProtection="1">
      <protection locked="0"/>
    </xf>
    <xf numFmtId="3" fontId="13" fillId="2" borderId="1" xfId="0" applyNumberFormat="1" applyFont="1" applyFill="1" applyBorder="1" applyProtection="1">
      <protection locked="0"/>
    </xf>
    <xf numFmtId="0" fontId="7" fillId="4" borderId="0" xfId="0" applyFont="1" applyFill="1" applyProtection="1">
      <protection hidden="1"/>
    </xf>
    <xf numFmtId="0" fontId="2" fillId="5" borderId="0" xfId="0" applyFont="1" applyFill="1" applyProtection="1">
      <protection hidden="1"/>
    </xf>
    <xf numFmtId="3" fontId="9" fillId="12" borderId="36" xfId="0" applyNumberFormat="1" applyFont="1" applyFill="1" applyBorder="1" applyProtection="1">
      <protection hidden="1"/>
    </xf>
    <xf numFmtId="3" fontId="9" fillId="12" borderId="1" xfId="0" applyNumberFormat="1" applyFont="1" applyFill="1" applyBorder="1" applyProtection="1">
      <protection hidden="1"/>
    </xf>
    <xf numFmtId="3" fontId="9" fillId="12" borderId="11" xfId="0" applyNumberFormat="1" applyFont="1" applyFill="1" applyBorder="1" applyProtection="1">
      <protection hidden="1"/>
    </xf>
    <xf numFmtId="0" fontId="9" fillId="10" borderId="10" xfId="0" applyFont="1" applyFill="1" applyBorder="1" applyAlignment="1" applyProtection="1">
      <alignment horizontal="right"/>
      <protection hidden="1"/>
    </xf>
    <xf numFmtId="3" fontId="2" fillId="12" borderId="112" xfId="0" applyNumberFormat="1" applyFont="1" applyFill="1" applyBorder="1" applyProtection="1">
      <protection hidden="1"/>
    </xf>
    <xf numFmtId="3" fontId="2" fillId="12" borderId="111" xfId="0" applyNumberFormat="1" applyFont="1" applyFill="1" applyBorder="1" applyProtection="1">
      <protection hidden="1"/>
    </xf>
    <xf numFmtId="3" fontId="2" fillId="12" borderId="113" xfId="0" applyNumberFormat="1" applyFont="1" applyFill="1" applyBorder="1" applyProtection="1">
      <protection hidden="1"/>
    </xf>
    <xf numFmtId="0" fontId="11" fillId="5" borderId="0" xfId="0" applyFont="1" applyFill="1" applyProtection="1">
      <protection hidden="1"/>
    </xf>
    <xf numFmtId="3" fontId="17" fillId="2" borderId="1" xfId="0" applyNumberFormat="1" applyFont="1" applyFill="1" applyBorder="1" applyProtection="1">
      <protection locked="0"/>
    </xf>
    <xf numFmtId="3" fontId="17" fillId="2" borderId="40" xfId="0" applyNumberFormat="1" applyFont="1" applyFill="1" applyBorder="1" applyProtection="1">
      <protection locked="0"/>
    </xf>
    <xf numFmtId="3" fontId="13" fillId="2" borderId="40" xfId="0" applyNumberFormat="1" applyFont="1" applyFill="1" applyBorder="1" applyProtection="1">
      <protection locked="0"/>
    </xf>
    <xf numFmtId="3" fontId="12" fillId="5" borderId="0" xfId="0" applyNumberFormat="1" applyFont="1" applyFill="1" applyAlignment="1" applyProtection="1">
      <alignment horizontal="center"/>
      <protection hidden="1"/>
    </xf>
    <xf numFmtId="3" fontId="9" fillId="12" borderId="121" xfId="0" applyNumberFormat="1" applyFont="1" applyFill="1" applyBorder="1" applyProtection="1">
      <protection hidden="1"/>
    </xf>
    <xf numFmtId="3" fontId="1" fillId="12" borderId="122" xfId="0" applyNumberFormat="1" applyFont="1" applyFill="1" applyBorder="1" applyProtection="1">
      <protection hidden="1"/>
    </xf>
    <xf numFmtId="3" fontId="1" fillId="12" borderId="124" xfId="0" applyNumberFormat="1" applyFont="1" applyFill="1" applyBorder="1" applyProtection="1">
      <protection hidden="1"/>
    </xf>
    <xf numFmtId="3" fontId="1" fillId="12" borderId="125" xfId="0" applyNumberFormat="1" applyFont="1" applyFill="1" applyBorder="1" applyProtection="1">
      <protection hidden="1"/>
    </xf>
    <xf numFmtId="3" fontId="1" fillId="12" borderId="126" xfId="0" applyNumberFormat="1" applyFont="1" applyFill="1" applyBorder="1" applyProtection="1">
      <protection hidden="1"/>
    </xf>
    <xf numFmtId="3" fontId="21" fillId="12" borderId="1" xfId="0" applyNumberFormat="1" applyFont="1" applyFill="1" applyBorder="1" applyProtection="1">
      <protection hidden="1"/>
    </xf>
    <xf numFmtId="0" fontId="22" fillId="4" borderId="0" xfId="0" applyFont="1" applyFill="1" applyProtection="1">
      <protection hidden="1"/>
    </xf>
    <xf numFmtId="0" fontId="6" fillId="4" borderId="0" xfId="0" applyFont="1" applyFill="1" applyAlignment="1" applyProtection="1">
      <alignment vertical="center" wrapText="1"/>
      <protection hidden="1"/>
    </xf>
    <xf numFmtId="0" fontId="1" fillId="5" borderId="18" xfId="0" applyFont="1" applyFill="1" applyBorder="1" applyProtection="1">
      <protection hidden="1"/>
    </xf>
    <xf numFmtId="0" fontId="1" fillId="5" borderId="132" xfId="0" applyFont="1" applyFill="1" applyBorder="1" applyProtection="1">
      <protection hidden="1"/>
    </xf>
    <xf numFmtId="0" fontId="20" fillId="4" borderId="0" xfId="0" applyFont="1" applyFill="1" applyProtection="1">
      <protection hidden="1"/>
    </xf>
    <xf numFmtId="164" fontId="13" fillId="12" borderId="134" xfId="1" applyNumberFormat="1" applyFont="1" applyFill="1" applyBorder="1" applyProtection="1">
      <protection hidden="1"/>
    </xf>
    <xf numFmtId="0" fontId="25" fillId="9" borderId="10" xfId="0" applyFont="1" applyFill="1" applyBorder="1" applyAlignment="1" applyProtection="1">
      <alignment horizontal="right"/>
      <protection hidden="1"/>
    </xf>
    <xf numFmtId="0" fontId="7" fillId="0" borderId="0" xfId="0" applyFont="1"/>
    <xf numFmtId="0" fontId="7" fillId="0" borderId="0" xfId="0" applyFont="1" applyAlignment="1">
      <alignment shrinkToFit="1"/>
    </xf>
    <xf numFmtId="0" fontId="7" fillId="0" borderId="0" xfId="0" applyFont="1" applyAlignment="1">
      <alignment horizontal="justify" vertical="top" readingOrder="2"/>
    </xf>
    <xf numFmtId="0" fontId="22" fillId="0" borderId="0" xfId="0" applyFont="1" applyAlignment="1">
      <alignment horizontal="left" vertical="top" wrapText="1" shrinkToFit="1"/>
    </xf>
    <xf numFmtId="0" fontId="26" fillId="4" borderId="0" xfId="0" applyFont="1" applyFill="1" applyProtection="1">
      <protection hidden="1"/>
    </xf>
    <xf numFmtId="164" fontId="13" fillId="2" borderId="1" xfId="0" applyNumberFormat="1" applyFont="1" applyFill="1" applyBorder="1" applyProtection="1">
      <protection locked="0"/>
    </xf>
    <xf numFmtId="164" fontId="13" fillId="2" borderId="89" xfId="0" applyNumberFormat="1" applyFont="1" applyFill="1" applyBorder="1" applyProtection="1">
      <protection locked="0"/>
    </xf>
    <xf numFmtId="164" fontId="13" fillId="2" borderId="11" xfId="0" applyNumberFormat="1" applyFont="1" applyFill="1" applyBorder="1" applyProtection="1">
      <protection locked="0"/>
    </xf>
    <xf numFmtId="164" fontId="13" fillId="2" borderId="16" xfId="0" applyNumberFormat="1" applyFont="1" applyFill="1" applyBorder="1" applyProtection="1">
      <protection locked="0"/>
    </xf>
    <xf numFmtId="164" fontId="13" fillId="2" borderId="90" xfId="0" applyNumberFormat="1" applyFont="1" applyFill="1" applyBorder="1" applyProtection="1">
      <protection locked="0"/>
    </xf>
    <xf numFmtId="164" fontId="13" fillId="2" borderId="17" xfId="0" applyNumberFormat="1" applyFont="1" applyFill="1" applyBorder="1" applyProtection="1">
      <protection locked="0"/>
    </xf>
    <xf numFmtId="0" fontId="11" fillId="4" borderId="0" xfId="0" applyFont="1" applyFill="1" applyProtection="1">
      <protection hidden="1"/>
    </xf>
    <xf numFmtId="0" fontId="1" fillId="2" borderId="10" xfId="0" applyFont="1" applyFill="1" applyBorder="1" applyProtection="1">
      <protection locked="0"/>
    </xf>
    <xf numFmtId="0" fontId="1" fillId="2" borderId="11" xfId="0" applyFont="1" applyFill="1" applyBorder="1" applyProtection="1">
      <protection locked="0"/>
    </xf>
    <xf numFmtId="0" fontId="16" fillId="11" borderId="23" xfId="0" applyFont="1" applyFill="1" applyBorder="1" applyProtection="1">
      <protection hidden="1"/>
    </xf>
    <xf numFmtId="0" fontId="16" fillId="11" borderId="15" xfId="0" applyFont="1" applyFill="1" applyBorder="1" applyProtection="1">
      <protection hidden="1"/>
    </xf>
    <xf numFmtId="3" fontId="1" fillId="2" borderId="24" xfId="0" applyNumberFormat="1" applyFont="1" applyFill="1" applyBorder="1" applyAlignment="1" applyProtection="1">
      <alignment horizontal="center"/>
      <protection locked="0"/>
    </xf>
    <xf numFmtId="3" fontId="1" fillId="2" borderId="17" xfId="0" applyNumberFormat="1" applyFont="1" applyFill="1" applyBorder="1" applyAlignment="1" applyProtection="1">
      <alignment horizontal="center"/>
      <protection locked="0"/>
    </xf>
    <xf numFmtId="0" fontId="13" fillId="11" borderId="23" xfId="0" applyFont="1" applyFill="1" applyBorder="1" applyAlignment="1" applyProtection="1">
      <alignment horizontal="right"/>
      <protection hidden="1"/>
    </xf>
    <xf numFmtId="0" fontId="13" fillId="11" borderId="15" xfId="0" applyFont="1" applyFill="1" applyBorder="1" applyAlignment="1" applyProtection="1">
      <alignment horizontal="right"/>
      <protection hidden="1"/>
    </xf>
    <xf numFmtId="0" fontId="13" fillId="11" borderId="54" xfId="0" applyFont="1" applyFill="1" applyBorder="1" applyAlignment="1" applyProtection="1">
      <alignment horizontal="right"/>
      <protection hidden="1"/>
    </xf>
    <xf numFmtId="0" fontId="18" fillId="11" borderId="56" xfId="0" applyFont="1" applyFill="1" applyBorder="1" applyProtection="1">
      <protection hidden="1"/>
    </xf>
    <xf numFmtId="3" fontId="18" fillId="12" borderId="57" xfId="0" applyNumberFormat="1" applyFont="1" applyFill="1" applyBorder="1" applyProtection="1">
      <protection hidden="1"/>
    </xf>
    <xf numFmtId="3" fontId="18" fillId="12" borderId="58" xfId="0" applyNumberFormat="1" applyFont="1" applyFill="1" applyBorder="1" applyProtection="1">
      <protection hidden="1"/>
    </xf>
    <xf numFmtId="3" fontId="1" fillId="2" borderId="50" xfId="0" applyNumberFormat="1" applyFont="1" applyFill="1" applyBorder="1" applyProtection="1">
      <protection locked="0"/>
    </xf>
    <xf numFmtId="3" fontId="1" fillId="2" borderId="55" xfId="0" applyNumberFormat="1" applyFont="1" applyFill="1" applyBorder="1" applyProtection="1">
      <protection locked="0"/>
    </xf>
    <xf numFmtId="0" fontId="5" fillId="0" borderId="66" xfId="0" applyFont="1" applyBorder="1"/>
    <xf numFmtId="0" fontId="7" fillId="0" borderId="0" xfId="0" applyFont="1" applyAlignment="1">
      <alignment vertical="top" wrapText="1" shrinkToFit="1" readingOrder="2"/>
    </xf>
    <xf numFmtId="0" fontId="22" fillId="0" borderId="0" xfId="0" applyFont="1" applyAlignment="1">
      <alignment horizontal="justify" vertical="top" wrapText="1" shrinkToFit="1" readingOrder="2"/>
    </xf>
    <xf numFmtId="0" fontId="7" fillId="0" borderId="0" xfId="0" applyFont="1" applyAlignment="1">
      <alignment horizontal="center" vertical="top" wrapText="1" shrinkToFit="1" readingOrder="2"/>
    </xf>
    <xf numFmtId="0" fontId="1" fillId="11" borderId="10" xfId="0" applyFont="1" applyFill="1" applyBorder="1" applyAlignment="1" applyProtection="1">
      <alignment horizontal="right"/>
      <protection locked="0" hidden="1"/>
    </xf>
    <xf numFmtId="0" fontId="28" fillId="0" borderId="66" xfId="0" applyFont="1" applyBorder="1"/>
    <xf numFmtId="0" fontId="19" fillId="0" borderId="66" xfId="0" applyFont="1" applyBorder="1"/>
    <xf numFmtId="0" fontId="19" fillId="0" borderId="66" xfId="0" applyFont="1" applyBorder="1" applyAlignment="1">
      <alignment horizontal="right"/>
    </xf>
    <xf numFmtId="1" fontId="24" fillId="0" borderId="66" xfId="0" applyNumberFormat="1" applyFont="1" applyBorder="1" applyAlignment="1">
      <alignment horizontal="right" shrinkToFit="1"/>
    </xf>
    <xf numFmtId="0" fontId="22" fillId="4" borderId="0" xfId="0" applyFont="1" applyFill="1"/>
    <xf numFmtId="0" fontId="1" fillId="2" borderId="102" xfId="0" applyFont="1" applyFill="1" applyBorder="1" applyProtection="1">
      <protection locked="0"/>
    </xf>
    <xf numFmtId="0" fontId="1" fillId="2" borderId="103" xfId="0" applyFont="1" applyFill="1" applyBorder="1" applyProtection="1">
      <protection locked="0"/>
    </xf>
    <xf numFmtId="3" fontId="1" fillId="2" borderId="122" xfId="0" applyNumberFormat="1" applyFont="1" applyFill="1" applyBorder="1" applyProtection="1">
      <protection locked="0"/>
    </xf>
    <xf numFmtId="3" fontId="1" fillId="2" borderId="1" xfId="0" applyNumberFormat="1" applyFont="1" applyFill="1" applyBorder="1" applyProtection="1">
      <protection locked="0"/>
    </xf>
    <xf numFmtId="3" fontId="1" fillId="2" borderId="11" xfId="0" applyNumberFormat="1" applyFont="1" applyFill="1" applyBorder="1" applyProtection="1">
      <protection locked="0"/>
    </xf>
    <xf numFmtId="3" fontId="1" fillId="2" borderId="36" xfId="0" applyNumberFormat="1" applyFont="1" applyFill="1" applyBorder="1" applyProtection="1">
      <protection locked="0"/>
    </xf>
    <xf numFmtId="3" fontId="3" fillId="12" borderId="68" xfId="0" applyNumberFormat="1" applyFont="1" applyFill="1" applyBorder="1" applyProtection="1">
      <protection hidden="1"/>
    </xf>
    <xf numFmtId="3" fontId="3" fillId="12" borderId="50" xfId="0" applyNumberFormat="1" applyFont="1" applyFill="1" applyBorder="1" applyProtection="1">
      <protection hidden="1"/>
    </xf>
    <xf numFmtId="3" fontId="3" fillId="12" borderId="55" xfId="0" applyNumberFormat="1" applyFont="1" applyFill="1" applyBorder="1" applyProtection="1">
      <protection hidden="1"/>
    </xf>
    <xf numFmtId="3" fontId="3" fillId="12" borderId="52" xfId="0" applyNumberFormat="1" applyFont="1" applyFill="1" applyBorder="1" applyProtection="1">
      <protection hidden="1"/>
    </xf>
    <xf numFmtId="3" fontId="1" fillId="12" borderId="70" xfId="0" applyNumberFormat="1" applyFont="1" applyFill="1" applyBorder="1" applyProtection="1">
      <protection hidden="1"/>
    </xf>
    <xf numFmtId="3" fontId="1" fillId="12" borderId="57" xfId="0" applyNumberFormat="1" applyFont="1" applyFill="1" applyBorder="1" applyProtection="1">
      <protection hidden="1"/>
    </xf>
    <xf numFmtId="3" fontId="1" fillId="12" borderId="58" xfId="0" applyNumberFormat="1" applyFont="1" applyFill="1" applyBorder="1" applyProtection="1">
      <protection hidden="1"/>
    </xf>
    <xf numFmtId="0" fontId="8" fillId="3" borderId="111" xfId="0" applyFont="1" applyFill="1" applyBorder="1" applyAlignment="1" applyProtection="1">
      <alignment horizontal="right" vertical="center"/>
      <protection hidden="1"/>
    </xf>
    <xf numFmtId="0" fontId="7" fillId="0" borderId="14" xfId="0" applyFont="1" applyBorder="1" applyAlignment="1">
      <alignment horizontal="left" wrapText="1"/>
    </xf>
    <xf numFmtId="0" fontId="7" fillId="0" borderId="0" xfId="0" applyFont="1" applyAlignment="1">
      <alignment horizontal="left" wrapText="1"/>
    </xf>
    <xf numFmtId="0" fontId="7" fillId="0" borderId="0" xfId="0" applyFont="1" applyAlignment="1">
      <alignment horizontal="justify" vertical="top" wrapText="1" shrinkToFit="1" readingOrder="2"/>
    </xf>
    <xf numFmtId="0" fontId="1" fillId="5" borderId="143" xfId="0" applyFont="1" applyFill="1" applyBorder="1" applyProtection="1">
      <protection hidden="1"/>
    </xf>
    <xf numFmtId="0" fontId="34" fillId="0" borderId="66" xfId="0" applyFont="1" applyBorder="1"/>
    <xf numFmtId="3" fontId="29" fillId="0" borderId="66" xfId="0" applyNumberFormat="1" applyFont="1" applyBorder="1" applyAlignment="1">
      <alignment horizontal="center"/>
    </xf>
    <xf numFmtId="3" fontId="28" fillId="0" borderId="66" xfId="0" applyNumberFormat="1" applyFont="1" applyBorder="1" applyAlignment="1">
      <alignment horizontal="center"/>
    </xf>
    <xf numFmtId="0" fontId="3" fillId="11" borderId="47" xfId="0" applyFont="1" applyFill="1" applyBorder="1"/>
    <xf numFmtId="1" fontId="3" fillId="12" borderId="36" xfId="0" applyNumberFormat="1" applyFont="1" applyFill="1" applyBorder="1"/>
    <xf numFmtId="0" fontId="2" fillId="17" borderId="51" xfId="0" applyFont="1" applyFill="1" applyBorder="1" applyAlignment="1">
      <alignment horizontal="center"/>
    </xf>
    <xf numFmtId="0" fontId="2" fillId="17" borderId="52" xfId="0" applyFont="1" applyFill="1" applyBorder="1" applyAlignment="1">
      <alignment horizontal="center"/>
    </xf>
    <xf numFmtId="0" fontId="2" fillId="17" borderId="69" xfId="0" applyFont="1" applyFill="1" applyBorder="1" applyAlignment="1">
      <alignment horizontal="center"/>
    </xf>
    <xf numFmtId="0" fontId="2" fillId="17" borderId="53" xfId="0" applyFont="1" applyFill="1" applyBorder="1" applyAlignment="1">
      <alignment horizontal="center"/>
    </xf>
    <xf numFmtId="0" fontId="19" fillId="4" borderId="0" xfId="0" applyFont="1" applyFill="1" applyProtection="1">
      <protection hidden="1"/>
    </xf>
    <xf numFmtId="0" fontId="3" fillId="12" borderId="15" xfId="0" applyFont="1" applyFill="1" applyBorder="1" applyAlignment="1" applyProtection="1">
      <alignment horizontal="right"/>
      <protection hidden="1"/>
    </xf>
    <xf numFmtId="1" fontId="36" fillId="16" borderId="117" xfId="0" applyNumberFormat="1" applyFont="1" applyFill="1" applyBorder="1" applyAlignment="1" applyProtection="1">
      <alignment horizontal="right" vertical="center"/>
      <protection hidden="1"/>
    </xf>
    <xf numFmtId="3" fontId="16" fillId="12" borderId="16" xfId="0" applyNumberFormat="1" applyFont="1" applyFill="1" applyBorder="1" applyProtection="1">
      <protection hidden="1"/>
    </xf>
    <xf numFmtId="3" fontId="16" fillId="12" borderId="41" xfId="0" applyNumberFormat="1" applyFont="1" applyFill="1" applyBorder="1" applyProtection="1">
      <protection hidden="1"/>
    </xf>
    <xf numFmtId="3" fontId="3" fillId="2" borderId="37" xfId="0" applyNumberFormat="1" applyFont="1" applyFill="1" applyBorder="1" applyProtection="1">
      <protection locked="0"/>
    </xf>
    <xf numFmtId="3" fontId="3" fillId="2" borderId="16" xfId="0" applyNumberFormat="1" applyFont="1" applyFill="1" applyBorder="1" applyProtection="1">
      <protection locked="0"/>
    </xf>
    <xf numFmtId="3" fontId="3" fillId="2" borderId="17" xfId="0" applyNumberFormat="1" applyFont="1" applyFill="1" applyBorder="1" applyProtection="1">
      <protection locked="0"/>
    </xf>
    <xf numFmtId="0" fontId="3" fillId="2" borderId="15" xfId="0" applyFont="1" applyFill="1" applyBorder="1" applyAlignment="1" applyProtection="1">
      <alignment horizontal="right"/>
      <protection hidden="1"/>
    </xf>
    <xf numFmtId="0" fontId="3" fillId="5" borderId="0" xfId="0" applyFont="1" applyFill="1" applyProtection="1">
      <protection hidden="1"/>
    </xf>
    <xf numFmtId="3" fontId="3" fillId="2" borderId="123" xfId="0" applyNumberFormat="1" applyFont="1" applyFill="1" applyBorder="1" applyProtection="1">
      <protection locked="0"/>
    </xf>
    <xf numFmtId="3" fontId="13" fillId="12" borderId="50" xfId="0" applyNumberFormat="1" applyFont="1" applyFill="1" applyBorder="1" applyProtection="1">
      <protection hidden="1"/>
    </xf>
    <xf numFmtId="3" fontId="13" fillId="12" borderId="57" xfId="0" applyNumberFormat="1" applyFont="1" applyFill="1" applyBorder="1" applyProtection="1">
      <protection hidden="1"/>
    </xf>
    <xf numFmtId="0" fontId="1" fillId="12" borderId="148" xfId="0" applyFont="1" applyFill="1" applyBorder="1" applyAlignment="1">
      <alignment horizontal="right"/>
    </xf>
    <xf numFmtId="0" fontId="1" fillId="11" borderId="149" xfId="0" applyFont="1" applyFill="1" applyBorder="1" applyAlignment="1">
      <alignment horizontal="right"/>
    </xf>
    <xf numFmtId="0" fontId="1" fillId="11" borderId="48" xfId="0" applyFont="1" applyFill="1" applyBorder="1" applyAlignment="1">
      <alignment horizontal="right"/>
    </xf>
    <xf numFmtId="0" fontId="1" fillId="13" borderId="0" xfId="0" applyFont="1" applyFill="1" applyProtection="1">
      <protection hidden="1"/>
    </xf>
    <xf numFmtId="49" fontId="1" fillId="2" borderId="10" xfId="0" applyNumberFormat="1" applyFont="1" applyFill="1" applyBorder="1" applyProtection="1">
      <protection locked="0"/>
    </xf>
    <xf numFmtId="49" fontId="1" fillId="2" borderId="11" xfId="0" applyNumberFormat="1" applyFont="1" applyFill="1" applyBorder="1" applyProtection="1">
      <protection locked="0"/>
    </xf>
    <xf numFmtId="49" fontId="1" fillId="13" borderId="0" xfId="0" applyNumberFormat="1" applyFont="1" applyFill="1" applyProtection="1">
      <protection hidden="1"/>
    </xf>
    <xf numFmtId="0" fontId="38" fillId="4" borderId="0" xfId="0" applyFont="1" applyFill="1" applyProtection="1">
      <protection hidden="1"/>
    </xf>
    <xf numFmtId="0" fontId="38" fillId="13" borderId="0" xfId="0" applyFont="1" applyFill="1" applyProtection="1">
      <protection hidden="1"/>
    </xf>
    <xf numFmtId="49" fontId="38" fillId="13" borderId="0" xfId="0" applyNumberFormat="1" applyFont="1" applyFill="1" applyProtection="1">
      <protection hidden="1"/>
    </xf>
    <xf numFmtId="0" fontId="1" fillId="7" borderId="0" xfId="0" applyFont="1" applyFill="1" applyBorder="1" applyProtection="1">
      <protection hidden="1"/>
    </xf>
    <xf numFmtId="3" fontId="1" fillId="2" borderId="74" xfId="0" applyNumberFormat="1" applyFont="1" applyFill="1" applyBorder="1" applyAlignment="1" applyProtection="1">
      <alignment horizontal="right"/>
      <protection locked="0"/>
    </xf>
    <xf numFmtId="3" fontId="1" fillId="2" borderId="73" xfId="0" applyNumberFormat="1" applyFont="1" applyFill="1" applyBorder="1" applyAlignment="1" applyProtection="1">
      <alignment horizontal="right"/>
      <protection locked="0"/>
    </xf>
    <xf numFmtId="3" fontId="1" fillId="2" borderId="80" xfId="0" applyNumberFormat="1" applyFont="1" applyFill="1" applyBorder="1" applyAlignment="1" applyProtection="1">
      <alignment horizontal="right"/>
      <protection locked="0"/>
    </xf>
    <xf numFmtId="3" fontId="1" fillId="12" borderId="71" xfId="0" applyNumberFormat="1" applyFont="1" applyFill="1" applyBorder="1" applyProtection="1">
      <protection hidden="1"/>
    </xf>
    <xf numFmtId="3" fontId="1" fillId="12" borderId="64" xfId="0" applyNumberFormat="1" applyFont="1" applyFill="1" applyBorder="1" applyProtection="1">
      <protection hidden="1"/>
    </xf>
    <xf numFmtId="3" fontId="1" fillId="12" borderId="65" xfId="0" applyNumberFormat="1" applyFont="1" applyFill="1" applyBorder="1" applyProtection="1">
      <protection hidden="1"/>
    </xf>
    <xf numFmtId="3" fontId="3" fillId="12" borderId="69" xfId="0" applyNumberFormat="1" applyFont="1" applyFill="1" applyBorder="1" applyProtection="1">
      <protection hidden="1"/>
    </xf>
    <xf numFmtId="3" fontId="3" fillId="12" borderId="53" xfId="0" applyNumberFormat="1" applyFont="1" applyFill="1" applyBorder="1" applyProtection="1">
      <protection hidden="1"/>
    </xf>
    <xf numFmtId="0" fontId="39" fillId="0" borderId="14" xfId="0" applyFont="1" applyBorder="1" applyAlignment="1">
      <alignment horizontal="left" vertical="center" wrapText="1"/>
    </xf>
    <xf numFmtId="0" fontId="40" fillId="0" borderId="14" xfId="0" applyFont="1" applyBorder="1" applyAlignment="1">
      <alignment horizontal="left" wrapText="1"/>
    </xf>
    <xf numFmtId="0" fontId="36" fillId="14" borderId="31" xfId="0" applyFont="1" applyFill="1" applyBorder="1" applyAlignment="1" applyProtection="1">
      <alignment horizontal="center" vertical="center"/>
      <protection hidden="1"/>
    </xf>
    <xf numFmtId="0" fontId="36" fillId="14" borderId="38" xfId="0" applyFont="1" applyFill="1" applyBorder="1" applyAlignment="1" applyProtection="1">
      <alignment horizontal="center" vertical="center"/>
      <protection hidden="1"/>
    </xf>
    <xf numFmtId="0" fontId="36" fillId="14" borderId="34" xfId="0" applyFont="1" applyFill="1" applyBorder="1" applyAlignment="1" applyProtection="1">
      <alignment horizontal="center" vertical="center"/>
      <protection hidden="1"/>
    </xf>
    <xf numFmtId="0" fontId="36" fillId="14" borderId="32" xfId="0" applyFont="1" applyFill="1" applyBorder="1" applyAlignment="1" applyProtection="1">
      <alignment horizontal="center" vertical="center"/>
      <protection hidden="1"/>
    </xf>
    <xf numFmtId="0" fontId="36" fillId="14" borderId="33" xfId="0" applyFont="1" applyFill="1" applyBorder="1" applyAlignment="1" applyProtection="1">
      <alignment horizontal="center" vertical="center"/>
      <protection hidden="1"/>
    </xf>
    <xf numFmtId="0" fontId="36" fillId="16" borderId="32" xfId="0" applyFont="1" applyFill="1" applyBorder="1" applyAlignment="1" applyProtection="1">
      <alignment horizontal="center" vertical="center"/>
      <protection hidden="1"/>
    </xf>
    <xf numFmtId="0" fontId="36" fillId="16" borderId="33" xfId="0" applyFont="1" applyFill="1" applyBorder="1" applyAlignment="1" applyProtection="1">
      <alignment horizontal="center" vertical="center"/>
      <protection hidden="1"/>
    </xf>
    <xf numFmtId="0" fontId="36" fillId="16" borderId="31" xfId="0" applyFont="1" applyFill="1" applyBorder="1" applyAlignment="1" applyProtection="1">
      <alignment horizontal="center" vertical="center"/>
      <protection hidden="1"/>
    </xf>
    <xf numFmtId="0" fontId="36" fillId="16" borderId="34" xfId="0" applyFont="1" applyFill="1" applyBorder="1" applyAlignment="1" applyProtection="1">
      <alignment horizontal="center" vertical="center"/>
      <protection hidden="1"/>
    </xf>
    <xf numFmtId="0" fontId="36" fillId="14" borderId="59" xfId="0" applyFont="1" applyFill="1" applyBorder="1" applyAlignment="1" applyProtection="1">
      <alignment horizontal="center" vertical="center" wrapText="1"/>
      <protection hidden="1"/>
    </xf>
    <xf numFmtId="0" fontId="36" fillId="16" borderId="38" xfId="0" applyFont="1" applyFill="1" applyBorder="1" applyAlignment="1" applyProtection="1">
      <alignment horizontal="center" vertical="center"/>
      <protection hidden="1"/>
    </xf>
    <xf numFmtId="0" fontId="36" fillId="16" borderId="59" xfId="0" applyFont="1" applyFill="1" applyBorder="1" applyAlignment="1" applyProtection="1">
      <alignment horizontal="center" vertical="center" wrapText="1"/>
      <protection hidden="1"/>
    </xf>
    <xf numFmtId="0" fontId="26" fillId="0" borderId="14" xfId="0" applyFont="1" applyBorder="1" applyAlignment="1">
      <alignment horizontal="justify" wrapText="1"/>
    </xf>
    <xf numFmtId="0" fontId="26" fillId="0" borderId="86" xfId="0" applyFont="1" applyBorder="1" applyAlignment="1">
      <alignment horizontal="justify" wrapText="1"/>
    </xf>
    <xf numFmtId="0" fontId="36" fillId="18" borderId="25" xfId="0" applyFont="1" applyFill="1" applyBorder="1" applyAlignment="1" applyProtection="1">
      <alignment horizontal="center"/>
      <protection hidden="1"/>
    </xf>
    <xf numFmtId="0" fontId="30" fillId="18" borderId="32" xfId="0" applyFont="1" applyFill="1" applyBorder="1" applyAlignment="1" applyProtection="1">
      <alignment horizontal="center" vertical="center"/>
      <protection hidden="1"/>
    </xf>
    <xf numFmtId="0" fontId="30" fillId="18" borderId="33" xfId="0" applyFont="1" applyFill="1" applyBorder="1" applyAlignment="1" applyProtection="1">
      <alignment horizontal="center" vertical="center"/>
      <protection hidden="1"/>
    </xf>
    <xf numFmtId="0" fontId="30" fillId="18" borderId="31" xfId="0" applyFont="1" applyFill="1" applyBorder="1" applyAlignment="1" applyProtection="1">
      <alignment horizontal="center" vertical="center"/>
      <protection hidden="1"/>
    </xf>
    <xf numFmtId="0" fontId="32" fillId="18" borderId="32" xfId="0" applyFont="1" applyFill="1" applyBorder="1" applyAlignment="1" applyProtection="1">
      <alignment horizontal="center" vertical="center"/>
      <protection hidden="1"/>
    </xf>
    <xf numFmtId="0" fontId="32" fillId="18" borderId="94" xfId="0" applyFont="1" applyFill="1" applyBorder="1" applyAlignment="1" applyProtection="1">
      <alignment horizontal="center" vertical="center" wrapText="1"/>
      <protection hidden="1"/>
    </xf>
    <xf numFmtId="0" fontId="32" fillId="18" borderId="95" xfId="0" applyFont="1" applyFill="1" applyBorder="1" applyAlignment="1" applyProtection="1">
      <alignment horizontal="center" vertical="center" wrapText="1"/>
      <protection hidden="1"/>
    </xf>
    <xf numFmtId="0" fontId="32" fillId="18" borderId="96" xfId="0" applyFont="1" applyFill="1" applyBorder="1" applyAlignment="1" applyProtection="1">
      <alignment horizontal="center" vertical="center"/>
      <protection hidden="1"/>
    </xf>
    <xf numFmtId="0" fontId="32" fillId="18" borderId="97" xfId="0" applyFont="1" applyFill="1" applyBorder="1" applyAlignment="1" applyProtection="1">
      <alignment horizontal="center" vertical="center"/>
      <protection hidden="1"/>
    </xf>
    <xf numFmtId="0" fontId="32" fillId="18" borderId="98" xfId="0" applyFont="1" applyFill="1" applyBorder="1" applyAlignment="1" applyProtection="1">
      <alignment horizontal="center" vertical="center"/>
      <protection hidden="1"/>
    </xf>
    <xf numFmtId="0" fontId="42" fillId="18" borderId="117" xfId="0" applyFont="1" applyFill="1" applyBorder="1" applyAlignment="1" applyProtection="1">
      <alignment horizontal="center" vertical="center" wrapText="1"/>
      <protection hidden="1"/>
    </xf>
    <xf numFmtId="0" fontId="36" fillId="18" borderId="49" xfId="0" applyFont="1" applyFill="1" applyBorder="1" applyProtection="1">
      <protection hidden="1"/>
    </xf>
    <xf numFmtId="0" fontId="36" fillId="18" borderId="27" xfId="0" applyFont="1" applyFill="1" applyBorder="1" applyAlignment="1" applyProtection="1">
      <alignment horizontal="center"/>
      <protection hidden="1"/>
    </xf>
    <xf numFmtId="0" fontId="36" fillId="18" borderId="52" xfId="0" applyFont="1" applyFill="1" applyBorder="1" applyAlignment="1" applyProtection="1">
      <alignment horizontal="center"/>
      <protection hidden="1"/>
    </xf>
    <xf numFmtId="0" fontId="36" fillId="18" borderId="53" xfId="0" applyFont="1" applyFill="1" applyBorder="1" applyAlignment="1" applyProtection="1">
      <alignment horizontal="center"/>
      <protection hidden="1"/>
    </xf>
    <xf numFmtId="0" fontId="1" fillId="11" borderId="160" xfId="0" applyFont="1" applyFill="1" applyBorder="1" applyAlignment="1">
      <alignment horizontal="right"/>
    </xf>
    <xf numFmtId="0" fontId="1" fillId="11" borderId="161" xfId="0" applyFont="1" applyFill="1" applyBorder="1" applyAlignment="1">
      <alignment horizontal="right"/>
    </xf>
    <xf numFmtId="3" fontId="13" fillId="12" borderId="54" xfId="0" applyNumberFormat="1" applyFont="1" applyFill="1" applyBorder="1" applyProtection="1">
      <protection hidden="1"/>
    </xf>
    <xf numFmtId="3" fontId="13" fillId="12" borderId="56" xfId="0" applyNumberFormat="1" applyFont="1" applyFill="1" applyBorder="1" applyProtection="1">
      <protection hidden="1"/>
    </xf>
    <xf numFmtId="0" fontId="41" fillId="14" borderId="10" xfId="0" applyFont="1" applyFill="1" applyBorder="1" applyAlignment="1" applyProtection="1">
      <alignment horizontal="center"/>
      <protection hidden="1"/>
    </xf>
    <xf numFmtId="0" fontId="41" fillId="16" borderId="11" xfId="0" applyFont="1" applyFill="1" applyBorder="1" applyAlignment="1" applyProtection="1">
      <alignment horizontal="center"/>
      <protection hidden="1"/>
    </xf>
    <xf numFmtId="0" fontId="41" fillId="15" borderId="10" xfId="0" applyFont="1" applyFill="1" applyBorder="1" applyAlignment="1" applyProtection="1">
      <alignment horizontal="center"/>
      <protection hidden="1"/>
    </xf>
    <xf numFmtId="0" fontId="43" fillId="14" borderId="137" xfId="0" applyFont="1" applyFill="1" applyBorder="1" applyAlignment="1" applyProtection="1">
      <alignment horizontal="center" wrapText="1"/>
      <protection hidden="1"/>
    </xf>
    <xf numFmtId="0" fontId="43" fillId="16" borderId="137" xfId="0" applyFont="1" applyFill="1" applyBorder="1" applyAlignment="1" applyProtection="1">
      <alignment horizontal="center" wrapText="1"/>
      <protection hidden="1"/>
    </xf>
    <xf numFmtId="0" fontId="43" fillId="18" borderId="137" xfId="0" applyFont="1" applyFill="1" applyBorder="1" applyAlignment="1" applyProtection="1">
      <alignment horizontal="center" wrapText="1"/>
      <protection hidden="1"/>
    </xf>
    <xf numFmtId="0" fontId="36" fillId="18" borderId="51" xfId="0" applyFont="1" applyFill="1" applyBorder="1" applyAlignment="1" applyProtection="1">
      <alignment horizontal="center"/>
      <protection hidden="1"/>
    </xf>
    <xf numFmtId="0" fontId="30" fillId="18" borderId="96" xfId="0" applyFont="1" applyFill="1" applyBorder="1" applyAlignment="1" applyProtection="1">
      <alignment horizontal="center" vertical="center"/>
      <protection hidden="1"/>
    </xf>
    <xf numFmtId="0" fontId="30" fillId="18" borderId="131" xfId="0" applyFont="1" applyFill="1" applyBorder="1" applyAlignment="1" applyProtection="1">
      <alignment horizontal="center" vertical="center"/>
      <protection hidden="1"/>
    </xf>
    <xf numFmtId="164" fontId="1" fillId="12" borderId="16" xfId="1" applyNumberFormat="1" applyFont="1" applyFill="1" applyBorder="1" applyProtection="1">
      <protection hidden="1"/>
    </xf>
    <xf numFmtId="164" fontId="1" fillId="12" borderId="16" xfId="0" applyNumberFormat="1" applyFont="1" applyFill="1" applyBorder="1" applyProtection="1">
      <protection hidden="1"/>
    </xf>
    <xf numFmtId="164" fontId="1" fillId="12" borderId="17" xfId="0" applyNumberFormat="1" applyFont="1" applyFill="1" applyBorder="1" applyProtection="1">
      <protection hidden="1"/>
    </xf>
    <xf numFmtId="164" fontId="1" fillId="5" borderId="0" xfId="0" applyNumberFormat="1" applyFont="1" applyFill="1" applyProtection="1">
      <protection hidden="1"/>
    </xf>
    <xf numFmtId="164" fontId="1" fillId="12" borderId="15" xfId="0" applyNumberFormat="1" applyFont="1" applyFill="1" applyBorder="1" applyProtection="1">
      <protection hidden="1"/>
    </xf>
    <xf numFmtId="164" fontId="13" fillId="12" borderId="135" xfId="1" applyNumberFormat="1" applyFont="1" applyFill="1" applyBorder="1" applyProtection="1">
      <protection hidden="1"/>
    </xf>
    <xf numFmtId="164" fontId="13" fillId="12" borderId="136" xfId="1" applyNumberFormat="1" applyFont="1" applyFill="1" applyBorder="1" applyProtection="1">
      <protection hidden="1"/>
    </xf>
    <xf numFmtId="3" fontId="16" fillId="2" borderId="35" xfId="0" applyNumberFormat="1" applyFont="1" applyFill="1" applyBorder="1" applyProtection="1">
      <protection locked="0"/>
    </xf>
    <xf numFmtId="3" fontId="16" fillId="2" borderId="22" xfId="0" applyNumberFormat="1" applyFont="1" applyFill="1" applyBorder="1" applyProtection="1">
      <protection locked="0"/>
    </xf>
    <xf numFmtId="3" fontId="16" fillId="2" borderId="24" xfId="0" applyNumberFormat="1" applyFont="1" applyFill="1" applyBorder="1" applyProtection="1">
      <protection locked="0"/>
    </xf>
    <xf numFmtId="3" fontId="7" fillId="12" borderId="118" xfId="0" applyNumberFormat="1" applyFont="1" applyFill="1" applyBorder="1" applyAlignment="1" applyProtection="1">
      <alignment wrapText="1"/>
      <protection hidden="1"/>
    </xf>
    <xf numFmtId="3" fontId="6" fillId="4" borderId="0" xfId="0" applyNumberFormat="1" applyFont="1" applyFill="1" applyAlignment="1" applyProtection="1">
      <alignment vertical="center" wrapText="1"/>
      <protection hidden="1"/>
    </xf>
    <xf numFmtId="3" fontId="7" fillId="12" borderId="23" xfId="0" applyNumberFormat="1" applyFont="1" applyFill="1" applyBorder="1" applyProtection="1">
      <protection hidden="1"/>
    </xf>
    <xf numFmtId="3" fontId="7" fillId="12" borderId="22" xfId="0" applyNumberFormat="1" applyFont="1" applyFill="1" applyBorder="1" applyProtection="1">
      <protection hidden="1"/>
    </xf>
    <xf numFmtId="3" fontId="7" fillId="12" borderId="24" xfId="0" applyNumberFormat="1" applyFont="1" applyFill="1" applyBorder="1" applyProtection="1">
      <protection hidden="1"/>
    </xf>
    <xf numFmtId="3" fontId="13" fillId="2" borderId="11" xfId="0" applyNumberFormat="1" applyFont="1" applyFill="1" applyBorder="1" applyProtection="1">
      <protection locked="0"/>
    </xf>
    <xf numFmtId="3" fontId="7" fillId="12" borderId="10" xfId="0" applyNumberFormat="1" applyFont="1" applyFill="1" applyBorder="1" applyProtection="1">
      <protection hidden="1"/>
    </xf>
    <xf numFmtId="3" fontId="7" fillId="12" borderId="1" xfId="0" applyNumberFormat="1" applyFont="1" applyFill="1" applyBorder="1" applyProtection="1">
      <protection hidden="1"/>
    </xf>
    <xf numFmtId="3" fontId="7" fillId="12" borderId="11" xfId="0" applyNumberFormat="1" applyFont="1" applyFill="1" applyBorder="1" applyProtection="1">
      <protection hidden="1"/>
    </xf>
    <xf numFmtId="3" fontId="13" fillId="2" borderId="0" xfId="0" applyNumberFormat="1" applyFont="1" applyFill="1" applyProtection="1">
      <protection locked="0"/>
    </xf>
    <xf numFmtId="3" fontId="13" fillId="2" borderId="42" xfId="0" applyNumberFormat="1" applyFont="1" applyFill="1" applyBorder="1" applyProtection="1">
      <protection locked="0"/>
    </xf>
    <xf numFmtId="3" fontId="13" fillId="2" borderId="9" xfId="0" applyNumberFormat="1" applyFont="1" applyFill="1" applyBorder="1" applyProtection="1">
      <protection locked="0"/>
    </xf>
    <xf numFmtId="3" fontId="13" fillId="2" borderId="13" xfId="0" applyNumberFormat="1" applyFont="1" applyFill="1" applyBorder="1" applyProtection="1">
      <protection locked="0"/>
    </xf>
    <xf numFmtId="3" fontId="7" fillId="12" borderId="119" xfId="0" applyNumberFormat="1" applyFont="1" applyFill="1" applyBorder="1" applyAlignment="1" applyProtection="1">
      <alignment wrapText="1"/>
      <protection hidden="1"/>
    </xf>
    <xf numFmtId="3" fontId="7" fillId="12" borderId="118" xfId="0" applyNumberFormat="1" applyFont="1" applyFill="1" applyBorder="1" applyProtection="1">
      <protection hidden="1"/>
    </xf>
    <xf numFmtId="3" fontId="7" fillId="4" borderId="0" xfId="0" applyNumberFormat="1" applyFont="1" applyFill="1" applyProtection="1">
      <protection hidden="1"/>
    </xf>
    <xf numFmtId="3" fontId="7" fillId="12" borderId="119" xfId="0" applyNumberFormat="1" applyFont="1" applyFill="1" applyBorder="1" applyProtection="1">
      <protection hidden="1"/>
    </xf>
    <xf numFmtId="3" fontId="7" fillId="12" borderId="15" xfId="0" applyNumberFormat="1" applyFont="1" applyFill="1" applyBorder="1" applyProtection="1">
      <protection hidden="1"/>
    </xf>
    <xf numFmtId="3" fontId="7" fillId="12" borderId="16" xfId="0" applyNumberFormat="1" applyFont="1" applyFill="1" applyBorder="1" applyProtection="1">
      <protection hidden="1"/>
    </xf>
    <xf numFmtId="3" fontId="7" fillId="12" borderId="17" xfId="0" applyNumberFormat="1" applyFont="1" applyFill="1" applyBorder="1" applyProtection="1">
      <protection hidden="1"/>
    </xf>
    <xf numFmtId="0" fontId="30" fillId="18" borderId="94" xfId="0" applyFont="1" applyFill="1" applyBorder="1" applyAlignment="1" applyProtection="1">
      <alignment horizontal="center" vertical="center" wrapText="1"/>
      <protection hidden="1"/>
    </xf>
    <xf numFmtId="164" fontId="13" fillId="12" borderId="164" xfId="1" applyNumberFormat="1" applyFont="1" applyFill="1" applyBorder="1" applyProtection="1">
      <protection hidden="1"/>
    </xf>
    <xf numFmtId="0" fontId="1" fillId="5" borderId="165" xfId="0" applyFont="1" applyFill="1" applyBorder="1" applyProtection="1">
      <protection hidden="1"/>
    </xf>
    <xf numFmtId="0" fontId="30" fillId="18" borderId="25" xfId="0" applyFont="1" applyFill="1" applyBorder="1" applyAlignment="1">
      <alignment horizontal="center"/>
    </xf>
    <xf numFmtId="0" fontId="30" fillId="18" borderId="51" xfId="0" applyFont="1" applyFill="1" applyBorder="1" applyAlignment="1">
      <alignment horizontal="center"/>
    </xf>
    <xf numFmtId="0" fontId="30" fillId="18" borderId="52" xfId="0" applyFont="1" applyFill="1" applyBorder="1" applyAlignment="1">
      <alignment horizontal="center"/>
    </xf>
    <xf numFmtId="0" fontId="30" fillId="18" borderId="53" xfId="0" applyFont="1" applyFill="1" applyBorder="1" applyAlignment="1">
      <alignment horizontal="center"/>
    </xf>
    <xf numFmtId="0" fontId="30" fillId="18" borderId="69" xfId="0" applyFont="1" applyFill="1" applyBorder="1" applyAlignment="1">
      <alignment horizontal="center"/>
    </xf>
    <xf numFmtId="0" fontId="30" fillId="18" borderId="150" xfId="0" applyFont="1" applyFill="1" applyBorder="1" applyAlignment="1">
      <alignment horizontal="center"/>
    </xf>
    <xf numFmtId="0" fontId="30" fillId="18" borderId="109" xfId="0" applyFont="1" applyFill="1" applyBorder="1" applyAlignment="1">
      <alignment horizontal="center"/>
    </xf>
    <xf numFmtId="0" fontId="30" fillId="18" borderId="110" xfId="0" applyFont="1" applyFill="1" applyBorder="1" applyAlignment="1">
      <alignment horizontal="center"/>
    </xf>
    <xf numFmtId="0" fontId="30" fillId="18" borderId="147" xfId="0" applyFont="1" applyFill="1" applyBorder="1" applyAlignment="1">
      <alignment horizontal="center"/>
    </xf>
    <xf numFmtId="3" fontId="13" fillId="12" borderId="55" xfId="0" applyNumberFormat="1" applyFont="1" applyFill="1" applyBorder="1" applyProtection="1">
      <protection hidden="1"/>
    </xf>
    <xf numFmtId="3" fontId="13" fillId="2" borderId="68" xfId="0" applyNumberFormat="1" applyFont="1" applyFill="1" applyBorder="1" applyProtection="1">
      <protection locked="0"/>
    </xf>
    <xf numFmtId="3" fontId="13" fillId="2" borderId="50" xfId="0" applyNumberFormat="1" applyFont="1" applyFill="1" applyBorder="1" applyProtection="1">
      <protection locked="0"/>
    </xf>
    <xf numFmtId="3" fontId="13" fillId="2" borderId="50" xfId="0" quotePrefix="1" applyNumberFormat="1" applyFont="1" applyFill="1" applyBorder="1" applyProtection="1">
      <protection locked="0"/>
    </xf>
    <xf numFmtId="3" fontId="13" fillId="2" borderId="55" xfId="0" applyNumberFormat="1" applyFont="1" applyFill="1" applyBorder="1" applyProtection="1">
      <protection locked="0"/>
    </xf>
    <xf numFmtId="3" fontId="13" fillId="12" borderId="58" xfId="0" applyNumberFormat="1" applyFont="1" applyFill="1" applyBorder="1" applyProtection="1">
      <protection hidden="1"/>
    </xf>
    <xf numFmtId="3" fontId="13" fillId="2" borderId="70" xfId="0" applyNumberFormat="1" applyFont="1" applyFill="1" applyBorder="1" applyProtection="1">
      <protection locked="0"/>
    </xf>
    <xf numFmtId="3" fontId="13" fillId="2" borderId="57" xfId="0" applyNumberFormat="1" applyFont="1" applyFill="1" applyBorder="1" applyProtection="1">
      <protection locked="0"/>
    </xf>
    <xf numFmtId="3" fontId="13" fillId="2" borderId="58" xfId="0" applyNumberFormat="1" applyFont="1" applyFill="1" applyBorder="1" applyProtection="1">
      <protection locked="0"/>
    </xf>
    <xf numFmtId="3" fontId="1" fillId="7" borderId="64" xfId="0" applyNumberFormat="1" applyFont="1" applyFill="1" applyBorder="1" applyProtection="1">
      <protection hidden="1"/>
    </xf>
    <xf numFmtId="3" fontId="1" fillId="7" borderId="65" xfId="0" applyNumberFormat="1" applyFont="1" applyFill="1" applyBorder="1" applyProtection="1">
      <protection hidden="1"/>
    </xf>
    <xf numFmtId="3" fontId="1" fillId="7" borderId="57" xfId="0" applyNumberFormat="1" applyFont="1" applyFill="1" applyBorder="1" applyProtection="1">
      <protection hidden="1"/>
    </xf>
    <xf numFmtId="3" fontId="1" fillId="7" borderId="58" xfId="0" applyNumberFormat="1" applyFont="1" applyFill="1" applyBorder="1" applyProtection="1">
      <protection hidden="1"/>
    </xf>
    <xf numFmtId="3" fontId="1" fillId="2" borderId="71" xfId="0" applyNumberFormat="1" applyFont="1" applyFill="1" applyBorder="1" applyProtection="1">
      <protection locked="0"/>
    </xf>
    <xf numFmtId="3" fontId="1" fillId="2" borderId="64" xfId="0" applyNumberFormat="1" applyFont="1" applyFill="1" applyBorder="1" applyProtection="1">
      <protection locked="0"/>
    </xf>
    <xf numFmtId="3" fontId="1" fillId="2" borderId="65" xfId="0" applyNumberFormat="1" applyFont="1" applyFill="1" applyBorder="1" applyProtection="1">
      <protection locked="0"/>
    </xf>
    <xf numFmtId="3" fontId="1" fillId="2" borderId="70" xfId="0" applyNumberFormat="1" applyFont="1" applyFill="1" applyBorder="1" applyProtection="1">
      <protection locked="0"/>
    </xf>
    <xf numFmtId="3" fontId="1" fillId="2" borderId="57" xfId="0" applyNumberFormat="1" applyFont="1" applyFill="1" applyBorder="1" applyProtection="1">
      <protection locked="0"/>
    </xf>
    <xf numFmtId="3" fontId="1" fillId="2" borderId="58" xfId="0" applyNumberFormat="1" applyFont="1" applyFill="1" applyBorder="1" applyProtection="1">
      <protection locked="0"/>
    </xf>
    <xf numFmtId="3" fontId="1" fillId="12" borderId="73" xfId="0" applyNumberFormat="1" applyFont="1" applyFill="1" applyBorder="1" applyAlignment="1" applyProtection="1">
      <alignment horizontal="right"/>
      <protection hidden="1"/>
    </xf>
    <xf numFmtId="3" fontId="1" fillId="12" borderId="80" xfId="0" applyNumberFormat="1" applyFont="1" applyFill="1" applyBorder="1" applyAlignment="1" applyProtection="1">
      <alignment horizontal="right"/>
      <protection hidden="1"/>
    </xf>
    <xf numFmtId="3" fontId="3" fillId="12" borderId="61" xfId="0" applyNumberFormat="1" applyFont="1" applyFill="1" applyBorder="1" applyProtection="1">
      <protection hidden="1"/>
    </xf>
    <xf numFmtId="3" fontId="3" fillId="12" borderId="62" xfId="0" applyNumberFormat="1" applyFont="1" applyFill="1" applyBorder="1" applyProtection="1">
      <protection hidden="1"/>
    </xf>
    <xf numFmtId="1" fontId="36" fillId="16" borderId="32" xfId="0" applyNumberFormat="1" applyFont="1" applyFill="1" applyBorder="1" applyAlignment="1" applyProtection="1">
      <alignment horizontal="center" vertical="center"/>
      <protection hidden="1"/>
    </xf>
    <xf numFmtId="1" fontId="36" fillId="14" borderId="34" xfId="0" applyNumberFormat="1" applyFont="1" applyFill="1" applyBorder="1" applyAlignment="1" applyProtection="1">
      <alignment horizontal="center" vertical="center"/>
      <protection hidden="1"/>
    </xf>
    <xf numFmtId="1" fontId="36" fillId="14" borderId="32" xfId="0" applyNumberFormat="1" applyFont="1" applyFill="1" applyBorder="1" applyAlignment="1" applyProtection="1">
      <alignment horizontal="center" vertical="center"/>
      <protection hidden="1"/>
    </xf>
    <xf numFmtId="1" fontId="30" fillId="14" borderId="34" xfId="0" applyNumberFormat="1" applyFont="1" applyFill="1" applyBorder="1" applyAlignment="1" applyProtection="1">
      <alignment horizontal="center" vertical="center"/>
      <protection hidden="1"/>
    </xf>
    <xf numFmtId="1" fontId="36" fillId="14" borderId="33" xfId="0" applyNumberFormat="1" applyFont="1" applyFill="1" applyBorder="1" applyAlignment="1" applyProtection="1">
      <alignment horizontal="center" vertical="center"/>
      <protection hidden="1"/>
    </xf>
    <xf numFmtId="1" fontId="30" fillId="16" borderId="34" xfId="0" applyNumberFormat="1" applyFont="1" applyFill="1" applyBorder="1" applyAlignment="1" applyProtection="1">
      <alignment horizontal="center" vertical="center"/>
      <protection hidden="1"/>
    </xf>
    <xf numFmtId="1" fontId="36" fillId="16" borderId="33" xfId="0" applyNumberFormat="1" applyFont="1" applyFill="1" applyBorder="1" applyAlignment="1" applyProtection="1">
      <alignment horizontal="center" vertical="center"/>
      <protection hidden="1"/>
    </xf>
    <xf numFmtId="0" fontId="45" fillId="2" borderId="10" xfId="0" applyFont="1" applyFill="1" applyBorder="1" applyProtection="1">
      <protection hidden="1"/>
    </xf>
    <xf numFmtId="0" fontId="45" fillId="2" borderId="17" xfId="0" applyFont="1" applyFill="1" applyBorder="1" applyProtection="1">
      <protection hidden="1"/>
    </xf>
    <xf numFmtId="0" fontId="45" fillId="2" borderId="15" xfId="0" applyFont="1" applyFill="1" applyBorder="1" applyProtection="1">
      <protection hidden="1"/>
    </xf>
    <xf numFmtId="0" fontId="45" fillId="2" borderId="11" xfId="0" applyFont="1" applyFill="1" applyBorder="1" applyProtection="1">
      <protection hidden="1"/>
    </xf>
    <xf numFmtId="49" fontId="1" fillId="0" borderId="10" xfId="0" applyNumberFormat="1" applyFont="1" applyFill="1" applyBorder="1" applyProtection="1">
      <protection locked="0"/>
    </xf>
    <xf numFmtId="0" fontId="32" fillId="18" borderId="159" xfId="0" applyFont="1" applyFill="1" applyBorder="1" applyAlignment="1" applyProtection="1">
      <alignment horizontal="center" vertical="center"/>
      <protection hidden="1"/>
    </xf>
    <xf numFmtId="0" fontId="32" fillId="18" borderId="109" xfId="0" applyFont="1" applyFill="1" applyBorder="1" applyAlignment="1" applyProtection="1">
      <alignment horizontal="center" vertical="center"/>
      <protection hidden="1"/>
    </xf>
    <xf numFmtId="0" fontId="32" fillId="18" borderId="110" xfId="0" applyFont="1" applyFill="1" applyBorder="1" applyAlignment="1" applyProtection="1">
      <alignment horizontal="center" vertical="center"/>
      <protection hidden="1"/>
    </xf>
    <xf numFmtId="0" fontId="1" fillId="12" borderId="10" xfId="0" applyFont="1" applyFill="1" applyBorder="1" applyAlignment="1" applyProtection="1">
      <alignment horizontal="right"/>
      <protection hidden="1"/>
    </xf>
    <xf numFmtId="3" fontId="1" fillId="12" borderId="127" xfId="0" applyNumberFormat="1" applyFont="1" applyFill="1" applyBorder="1" applyProtection="1">
      <protection hidden="1"/>
    </xf>
    <xf numFmtId="3" fontId="1" fillId="12" borderId="40" xfId="0" applyNumberFormat="1" applyFont="1" applyFill="1" applyBorder="1" applyProtection="1">
      <protection hidden="1"/>
    </xf>
    <xf numFmtId="0" fontId="1" fillId="12" borderId="12" xfId="0" applyFont="1" applyFill="1" applyBorder="1" applyAlignment="1" applyProtection="1">
      <alignment horizontal="right"/>
      <protection hidden="1"/>
    </xf>
    <xf numFmtId="3" fontId="1" fillId="12" borderId="9" xfId="0" applyNumberFormat="1" applyFont="1" applyFill="1" applyBorder="1" applyProtection="1">
      <protection hidden="1"/>
    </xf>
    <xf numFmtId="3" fontId="1" fillId="12" borderId="91" xfId="0" applyNumberFormat="1" applyFont="1" applyFill="1" applyBorder="1" applyProtection="1">
      <protection hidden="1"/>
    </xf>
    <xf numFmtId="3" fontId="1" fillId="12" borderId="128" xfId="0" applyNumberFormat="1" applyFont="1" applyFill="1" applyBorder="1" applyProtection="1">
      <protection hidden="1"/>
    </xf>
    <xf numFmtId="3" fontId="1" fillId="12" borderId="133" xfId="0" applyNumberFormat="1" applyFont="1" applyFill="1" applyBorder="1" applyProtection="1">
      <protection hidden="1"/>
    </xf>
    <xf numFmtId="3" fontId="1" fillId="12" borderId="13" xfId="0" applyNumberFormat="1" applyFont="1" applyFill="1" applyBorder="1" applyProtection="1">
      <protection hidden="1"/>
    </xf>
    <xf numFmtId="0" fontId="1" fillId="12" borderId="47" xfId="0" applyFont="1" applyFill="1" applyBorder="1" applyAlignment="1" applyProtection="1">
      <alignment horizontal="right"/>
      <protection hidden="1"/>
    </xf>
    <xf numFmtId="3" fontId="1" fillId="12" borderId="166" xfId="0" applyNumberFormat="1" applyFont="1" applyFill="1" applyBorder="1" applyProtection="1">
      <protection hidden="1"/>
    </xf>
    <xf numFmtId="166" fontId="1" fillId="12" borderId="122" xfId="0" applyNumberFormat="1" applyFont="1" applyFill="1" applyBorder="1" applyProtection="1">
      <protection hidden="1"/>
    </xf>
    <xf numFmtId="166" fontId="1" fillId="12" borderId="1" xfId="0" applyNumberFormat="1" applyFont="1" applyFill="1" applyBorder="1" applyProtection="1">
      <protection hidden="1"/>
    </xf>
    <xf numFmtId="166" fontId="1" fillId="12" borderId="11" xfId="0" applyNumberFormat="1" applyFont="1" applyFill="1" applyBorder="1" applyProtection="1">
      <protection hidden="1"/>
    </xf>
    <xf numFmtId="3" fontId="1" fillId="12" borderId="141" xfId="0" applyNumberFormat="1" applyFont="1" applyFill="1" applyBorder="1" applyProtection="1">
      <protection hidden="1"/>
    </xf>
    <xf numFmtId="3" fontId="1" fillId="12" borderId="140" xfId="0" applyNumberFormat="1" applyFont="1" applyFill="1" applyBorder="1" applyProtection="1">
      <protection hidden="1"/>
    </xf>
    <xf numFmtId="3" fontId="1" fillId="12" borderId="142" xfId="0" applyNumberFormat="1" applyFont="1" applyFill="1" applyBorder="1" applyProtection="1">
      <protection hidden="1"/>
    </xf>
    <xf numFmtId="0" fontId="1" fillId="12" borderId="139" xfId="0" applyFont="1" applyFill="1" applyBorder="1" applyAlignment="1" applyProtection="1">
      <alignment horizontal="right"/>
      <protection hidden="1"/>
    </xf>
    <xf numFmtId="0" fontId="2" fillId="20" borderId="75" xfId="0" applyFont="1" applyFill="1" applyBorder="1" applyAlignment="1">
      <alignment horizontal="center"/>
    </xf>
    <xf numFmtId="0" fontId="2" fillId="20" borderId="76" xfId="0" applyFont="1" applyFill="1" applyBorder="1" applyAlignment="1">
      <alignment horizontal="center"/>
    </xf>
    <xf numFmtId="0" fontId="2" fillId="20" borderId="78" xfId="0" applyFont="1" applyFill="1" applyBorder="1" applyAlignment="1">
      <alignment horizontal="center"/>
    </xf>
    <xf numFmtId="0" fontId="2" fillId="20" borderId="77" xfId="0" applyFont="1" applyFill="1" applyBorder="1" applyAlignment="1">
      <alignment horizontal="center"/>
    </xf>
    <xf numFmtId="0" fontId="26" fillId="0" borderId="0" xfId="0" applyFont="1" applyAlignment="1">
      <alignment horizontal="justify" vertical="top" wrapText="1" shrinkToFit="1" readingOrder="2"/>
    </xf>
    <xf numFmtId="0" fontId="26" fillId="0" borderId="0" xfId="0" applyFont="1"/>
    <xf numFmtId="0" fontId="26" fillId="0" borderId="0" xfId="0" applyFont="1" applyBorder="1" applyAlignment="1">
      <alignment horizontal="justify" wrapText="1"/>
    </xf>
    <xf numFmtId="165" fontId="1" fillId="12" borderId="22" xfId="0" applyNumberFormat="1" applyFont="1" applyFill="1" applyBorder="1" applyProtection="1">
      <protection hidden="1"/>
    </xf>
    <xf numFmtId="165" fontId="1" fillId="12" borderId="40" xfId="0" applyNumberFormat="1" applyFont="1" applyFill="1" applyBorder="1" applyProtection="1">
      <protection hidden="1"/>
    </xf>
    <xf numFmtId="0" fontId="7" fillId="0" borderId="0" xfId="0" applyFont="1" applyAlignment="1">
      <alignment horizontal="justify" vertical="top" wrapText="1" shrinkToFit="1" readingOrder="2"/>
    </xf>
    <xf numFmtId="166" fontId="7" fillId="12" borderId="1" xfId="0" applyNumberFormat="1" applyFont="1" applyFill="1" applyBorder="1"/>
    <xf numFmtId="166" fontId="7" fillId="12" borderId="3" xfId="0" applyNumberFormat="1" applyFont="1" applyFill="1" applyBorder="1"/>
    <xf numFmtId="166" fontId="7" fillId="12" borderId="9" xfId="0" applyNumberFormat="1" applyFont="1" applyFill="1" applyBorder="1"/>
    <xf numFmtId="166" fontId="7" fillId="12" borderId="5" xfId="0" applyNumberFormat="1" applyFont="1" applyFill="1" applyBorder="1"/>
    <xf numFmtId="166" fontId="1" fillId="12" borderId="1" xfId="0" applyNumberFormat="1" applyFont="1" applyFill="1" applyBorder="1"/>
    <xf numFmtId="166" fontId="1" fillId="12" borderId="1" xfId="0" applyNumberFormat="1" applyFont="1" applyFill="1" applyBorder="1" applyAlignment="1">
      <alignment horizontal="right"/>
    </xf>
    <xf numFmtId="166" fontId="1" fillId="12" borderId="3" xfId="0" applyNumberFormat="1" applyFont="1" applyFill="1" applyBorder="1" applyAlignment="1">
      <alignment horizontal="right"/>
    </xf>
    <xf numFmtId="166" fontId="1" fillId="12" borderId="9" xfId="0" applyNumberFormat="1" applyFont="1" applyFill="1" applyBorder="1"/>
    <xf numFmtId="166" fontId="1" fillId="12" borderId="9" xfId="0" applyNumberFormat="1" applyFont="1" applyFill="1" applyBorder="1" applyAlignment="1">
      <alignment horizontal="right"/>
    </xf>
    <xf numFmtId="166" fontId="1" fillId="12" borderId="5" xfId="0" applyNumberFormat="1" applyFont="1" applyFill="1" applyBorder="1" applyAlignment="1">
      <alignment horizontal="right"/>
    </xf>
    <xf numFmtId="0" fontId="13" fillId="12" borderId="54" xfId="0" applyFont="1" applyFill="1" applyBorder="1" applyProtection="1">
      <protection hidden="1"/>
    </xf>
    <xf numFmtId="0" fontId="23" fillId="12" borderId="54" xfId="0" applyFont="1" applyFill="1" applyBorder="1" applyProtection="1">
      <protection hidden="1"/>
    </xf>
    <xf numFmtId="0" fontId="13" fillId="12" borderId="63" xfId="0" applyFont="1" applyFill="1" applyBorder="1" applyProtection="1">
      <protection hidden="1"/>
    </xf>
    <xf numFmtId="0" fontId="13" fillId="12" borderId="56" xfId="0" applyFont="1" applyFill="1" applyBorder="1" applyProtection="1">
      <protection hidden="1"/>
    </xf>
    <xf numFmtId="0" fontId="28" fillId="0" borderId="0" xfId="0" applyFont="1" applyBorder="1"/>
    <xf numFmtId="3" fontId="28" fillId="0" borderId="0" xfId="0" applyNumberFormat="1" applyFont="1" applyBorder="1" applyAlignment="1">
      <alignment horizontal="center"/>
    </xf>
    <xf numFmtId="0" fontId="14" fillId="5" borderId="0" xfId="0" applyFont="1" applyFill="1" applyProtection="1">
      <protection hidden="1"/>
    </xf>
    <xf numFmtId="0" fontId="1" fillId="2" borderId="10" xfId="0" applyFont="1" applyFill="1" applyBorder="1" applyAlignment="1" applyProtection="1">
      <alignment horizontal="right"/>
      <protection locked="0"/>
    </xf>
    <xf numFmtId="0" fontId="1" fillId="2" borderId="23" xfId="0" applyFont="1" applyFill="1" applyBorder="1" applyAlignment="1" applyProtection="1">
      <alignment horizontal="right"/>
      <protection locked="0"/>
    </xf>
    <xf numFmtId="0" fontId="1" fillId="2" borderId="12" xfId="0" applyFont="1" applyFill="1" applyBorder="1" applyAlignment="1" applyProtection="1">
      <alignment horizontal="right"/>
      <protection locked="0"/>
    </xf>
    <xf numFmtId="0" fontId="1" fillId="11" borderId="10" xfId="0" applyFont="1" applyFill="1" applyBorder="1" applyAlignment="1" applyProtection="1">
      <alignment horizontal="right"/>
      <protection locked="0"/>
    </xf>
    <xf numFmtId="3" fontId="19" fillId="2" borderId="40" xfId="0" applyNumberFormat="1" applyFont="1" applyFill="1" applyBorder="1" applyProtection="1">
      <protection locked="0"/>
    </xf>
    <xf numFmtId="3" fontId="19" fillId="2" borderId="41" xfId="0" applyNumberFormat="1" applyFont="1" applyFill="1" applyBorder="1" applyProtection="1">
      <protection locked="0"/>
    </xf>
    <xf numFmtId="0" fontId="47" fillId="2" borderId="39" xfId="0" applyFont="1" applyFill="1" applyBorder="1" applyProtection="1">
      <protection locked="0"/>
    </xf>
    <xf numFmtId="0" fontId="47" fillId="2" borderId="40" xfId="0" applyFont="1" applyFill="1" applyBorder="1" applyProtection="1">
      <protection locked="0"/>
    </xf>
    <xf numFmtId="0" fontId="47" fillId="2" borderId="92" xfId="0" applyFont="1" applyFill="1" applyBorder="1" applyProtection="1">
      <protection locked="0"/>
    </xf>
    <xf numFmtId="0" fontId="47" fillId="2" borderId="91" xfId="0" applyFont="1" applyFill="1" applyBorder="1" applyProtection="1">
      <protection locked="0"/>
    </xf>
    <xf numFmtId="0" fontId="3" fillId="11" borderId="15" xfId="0" applyFont="1" applyFill="1" applyBorder="1" applyAlignment="1" applyProtection="1">
      <alignment horizontal="right"/>
      <protection hidden="1"/>
    </xf>
    <xf numFmtId="3" fontId="9" fillId="12" borderId="36" xfId="0" applyNumberFormat="1" applyFont="1" applyFill="1" applyBorder="1" applyProtection="1">
      <protection locked="0"/>
    </xf>
    <xf numFmtId="3" fontId="9" fillId="12" borderId="1" xfId="0" applyNumberFormat="1" applyFont="1" applyFill="1" applyBorder="1" applyProtection="1">
      <protection locked="0"/>
    </xf>
    <xf numFmtId="3" fontId="9" fillId="12" borderId="11" xfId="0" applyNumberFormat="1" applyFont="1" applyFill="1" applyBorder="1" applyProtection="1">
      <protection locked="0"/>
    </xf>
    <xf numFmtId="3" fontId="1" fillId="2" borderId="129" xfId="0" applyNumberFormat="1" applyFont="1" applyFill="1" applyBorder="1" applyProtection="1">
      <protection locked="0"/>
    </xf>
    <xf numFmtId="3" fontId="3" fillId="2" borderId="130" xfId="0" applyNumberFormat="1" applyFont="1" applyFill="1" applyBorder="1" applyProtection="1">
      <protection locked="0"/>
    </xf>
    <xf numFmtId="0" fontId="3" fillId="11" borderId="149" xfId="0" applyFont="1" applyFill="1" applyBorder="1" applyAlignment="1" applyProtection="1">
      <alignment horizontal="right"/>
      <protection hidden="1"/>
    </xf>
    <xf numFmtId="3" fontId="1" fillId="12" borderId="35" xfId="0" applyNumberFormat="1" applyFont="1" applyFill="1" applyBorder="1" applyProtection="1">
      <protection hidden="1"/>
    </xf>
    <xf numFmtId="3" fontId="1" fillId="2" borderId="42" xfId="0" applyNumberFormat="1" applyFont="1" applyFill="1" applyBorder="1" applyProtection="1">
      <protection locked="0"/>
    </xf>
    <xf numFmtId="3" fontId="1" fillId="2" borderId="9" xfId="0" applyNumberFormat="1" applyFont="1" applyFill="1" applyBorder="1" applyProtection="1">
      <protection locked="0"/>
    </xf>
    <xf numFmtId="3" fontId="1" fillId="2" borderId="13" xfId="0" applyNumberFormat="1" applyFont="1" applyFill="1" applyBorder="1" applyProtection="1">
      <protection locked="0"/>
    </xf>
    <xf numFmtId="0" fontId="1" fillId="2" borderId="148" xfId="0" applyFont="1" applyFill="1" applyBorder="1" applyAlignment="1">
      <alignment horizontal="right"/>
    </xf>
    <xf numFmtId="3" fontId="1" fillId="2" borderId="35" xfId="0" applyNumberFormat="1" applyFont="1" applyFill="1" applyBorder="1" applyProtection="1">
      <protection locked="0"/>
    </xf>
    <xf numFmtId="3" fontId="1" fillId="2" borderId="22" xfId="0" applyNumberFormat="1" applyFont="1" applyFill="1" applyBorder="1" applyProtection="1">
      <protection locked="0"/>
    </xf>
    <xf numFmtId="3" fontId="1" fillId="2" borderId="24" xfId="0" applyNumberFormat="1" applyFont="1" applyFill="1" applyBorder="1" applyProtection="1">
      <protection locked="0"/>
    </xf>
    <xf numFmtId="164" fontId="1" fillId="2" borderId="37" xfId="1" applyNumberFormat="1" applyFont="1" applyFill="1" applyBorder="1" applyProtection="1">
      <protection locked="0"/>
    </xf>
    <xf numFmtId="164" fontId="1" fillId="2" borderId="16" xfId="1" applyNumberFormat="1" applyFont="1" applyFill="1" applyBorder="1" applyProtection="1">
      <protection locked="0"/>
    </xf>
    <xf numFmtId="164" fontId="1" fillId="2" borderId="17" xfId="1" applyNumberFormat="1" applyFont="1" applyFill="1" applyBorder="1" applyProtection="1">
      <protection locked="0"/>
    </xf>
    <xf numFmtId="3" fontId="1" fillId="12" borderId="42" xfId="0" applyNumberFormat="1" applyFont="1" applyFill="1" applyBorder="1" applyProtection="1">
      <protection hidden="1"/>
    </xf>
    <xf numFmtId="3" fontId="3" fillId="12" borderId="72" xfId="0" applyNumberFormat="1" applyFont="1" applyFill="1" applyBorder="1" applyProtection="1">
      <protection hidden="1"/>
    </xf>
    <xf numFmtId="0" fontId="26" fillId="0" borderId="14" xfId="0" applyFont="1" applyBorder="1" applyAlignment="1">
      <alignment vertical="top" wrapText="1" shrinkToFit="1" readingOrder="2"/>
    </xf>
    <xf numFmtId="0" fontId="26" fillId="0" borderId="0" xfId="0" applyFont="1" applyAlignment="1">
      <alignment vertical="top" wrapText="1" shrinkToFit="1" readingOrder="2"/>
    </xf>
    <xf numFmtId="0" fontId="44" fillId="7" borderId="0" xfId="0" applyFont="1" applyFill="1" applyBorder="1" applyAlignment="1" applyProtection="1">
      <alignment vertical="center"/>
      <protection hidden="1"/>
    </xf>
    <xf numFmtId="0" fontId="44" fillId="7" borderId="18" xfId="0" applyFont="1" applyFill="1" applyBorder="1" applyAlignment="1" applyProtection="1">
      <alignment vertical="center"/>
      <protection hidden="1"/>
    </xf>
    <xf numFmtId="0" fontId="47" fillId="5" borderId="0" xfId="0" applyFont="1" applyFill="1" applyProtection="1">
      <protection hidden="1"/>
    </xf>
    <xf numFmtId="0" fontId="51" fillId="5" borderId="0" xfId="0" applyFont="1" applyFill="1" applyProtection="1">
      <protection hidden="1"/>
    </xf>
    <xf numFmtId="3" fontId="3" fillId="12" borderId="37" xfId="0" applyNumberFormat="1" applyFont="1" applyFill="1" applyBorder="1" applyProtection="1">
      <protection hidden="1"/>
    </xf>
    <xf numFmtId="3" fontId="3" fillId="12" borderId="16" xfId="0" applyNumberFormat="1" applyFont="1" applyFill="1" applyBorder="1" applyProtection="1">
      <protection hidden="1"/>
    </xf>
    <xf numFmtId="3" fontId="16" fillId="12" borderId="17" xfId="0" applyNumberFormat="1" applyFont="1" applyFill="1" applyBorder="1" applyProtection="1">
      <protection hidden="1"/>
    </xf>
    <xf numFmtId="3" fontId="3" fillId="12" borderId="17" xfId="0" applyNumberFormat="1" applyFont="1" applyFill="1" applyBorder="1" applyProtection="1">
      <protection hidden="1"/>
    </xf>
    <xf numFmtId="0" fontId="3" fillId="11" borderId="54" xfId="0" applyFont="1" applyFill="1" applyBorder="1" applyAlignment="1">
      <alignment horizontal="right"/>
    </xf>
    <xf numFmtId="0" fontId="3" fillId="11" borderId="51" xfId="0" applyFont="1" applyFill="1" applyBorder="1" applyAlignment="1">
      <alignment horizontal="right"/>
    </xf>
    <xf numFmtId="0" fontId="2" fillId="11" borderId="79" xfId="0" applyFont="1" applyFill="1" applyBorder="1" applyAlignment="1">
      <alignment horizontal="right"/>
    </xf>
    <xf numFmtId="0" fontId="3" fillId="11" borderId="60" xfId="0" applyFont="1" applyFill="1" applyBorder="1" applyAlignment="1">
      <alignment horizontal="right"/>
    </xf>
    <xf numFmtId="0" fontId="13" fillId="11" borderId="56" xfId="0" applyFont="1" applyFill="1" applyBorder="1" applyAlignment="1">
      <alignment horizontal="right"/>
    </xf>
    <xf numFmtId="0" fontId="13" fillId="11" borderId="63" xfId="0" applyFont="1" applyFill="1" applyBorder="1" applyAlignment="1">
      <alignment horizontal="right"/>
    </xf>
    <xf numFmtId="3" fontId="7" fillId="12" borderId="174" xfId="0" applyNumberFormat="1" applyFont="1" applyFill="1" applyBorder="1" applyAlignment="1" applyProtection="1">
      <alignment wrapText="1"/>
      <protection hidden="1"/>
    </xf>
    <xf numFmtId="0" fontId="30" fillId="14" borderId="175" xfId="0" applyFont="1" applyFill="1" applyBorder="1" applyAlignment="1" applyProtection="1">
      <alignment vertical="center" wrapText="1"/>
      <protection hidden="1"/>
    </xf>
    <xf numFmtId="0" fontId="54" fillId="2" borderId="10" xfId="0" applyFont="1" applyFill="1" applyBorder="1" applyAlignment="1" applyProtection="1">
      <alignment horizontal="right"/>
    </xf>
    <xf numFmtId="0" fontId="54" fillId="11" borderId="10" xfId="0" applyFont="1" applyFill="1" applyBorder="1" applyAlignment="1" applyProtection="1">
      <alignment horizontal="right"/>
      <protection hidden="1"/>
    </xf>
    <xf numFmtId="0" fontId="54" fillId="2" borderId="10" xfId="0" applyFont="1" applyFill="1" applyBorder="1" applyAlignment="1" applyProtection="1">
      <alignment horizontal="right"/>
      <protection hidden="1"/>
    </xf>
    <xf numFmtId="3" fontId="55" fillId="2" borderId="40" xfId="0" applyNumberFormat="1" applyFont="1" applyFill="1" applyBorder="1" applyProtection="1"/>
    <xf numFmtId="3" fontId="54" fillId="2" borderId="129" xfId="0" applyNumberFormat="1" applyFont="1" applyFill="1" applyBorder="1" applyProtection="1">
      <protection hidden="1"/>
    </xf>
    <xf numFmtId="0" fontId="1" fillId="2" borderId="40" xfId="0" applyFont="1" applyFill="1" applyBorder="1" applyProtection="1">
      <protection locked="0" hidden="1"/>
    </xf>
    <xf numFmtId="0" fontId="1" fillId="12" borderId="41" xfId="0" applyFont="1" applyFill="1" applyBorder="1" applyProtection="1">
      <protection locked="0" hidden="1"/>
    </xf>
    <xf numFmtId="0" fontId="1" fillId="12" borderId="37" xfId="0" applyFont="1" applyFill="1" applyBorder="1" applyProtection="1">
      <protection locked="0"/>
    </xf>
    <xf numFmtId="0" fontId="1" fillId="2" borderId="36" xfId="0" applyFont="1" applyFill="1" applyBorder="1" applyProtection="1">
      <protection locked="0"/>
    </xf>
    <xf numFmtId="0" fontId="32" fillId="18" borderId="33" xfId="0" applyFont="1" applyFill="1" applyBorder="1" applyAlignment="1" applyProtection="1">
      <alignment horizontal="center" vertical="center"/>
      <protection hidden="1"/>
    </xf>
    <xf numFmtId="0" fontId="7" fillId="7" borderId="0" xfId="0" applyFont="1" applyFill="1" applyBorder="1"/>
    <xf numFmtId="0" fontId="7" fillId="4" borderId="0" xfId="0" applyFont="1" applyFill="1" applyBorder="1"/>
    <xf numFmtId="0" fontId="36" fillId="16" borderId="81" xfId="0" applyFont="1" applyFill="1" applyBorder="1" applyAlignment="1">
      <alignment horizontal="right" wrapText="1"/>
    </xf>
    <xf numFmtId="0" fontId="53" fillId="7" borderId="116" xfId="0" applyFont="1" applyFill="1" applyBorder="1"/>
    <xf numFmtId="0" fontId="7" fillId="7" borderId="116" xfId="0" applyFont="1" applyFill="1" applyBorder="1"/>
    <xf numFmtId="0" fontId="7" fillId="4" borderId="116" xfId="0" applyFont="1" applyFill="1" applyBorder="1"/>
    <xf numFmtId="0" fontId="7" fillId="4" borderId="131" xfId="0" applyFont="1" applyFill="1" applyBorder="1"/>
    <xf numFmtId="0" fontId="7" fillId="7" borderId="14" xfId="0" applyFont="1" applyFill="1" applyBorder="1"/>
    <xf numFmtId="0" fontId="7" fillId="4" borderId="86" xfId="0" applyFont="1" applyFill="1" applyBorder="1"/>
    <xf numFmtId="0" fontId="7" fillId="4" borderId="14" xfId="0" applyFont="1" applyFill="1" applyBorder="1"/>
    <xf numFmtId="0" fontId="54" fillId="2" borderId="40" xfId="0" applyFont="1" applyFill="1" applyBorder="1" applyProtection="1">
      <protection hidden="1"/>
    </xf>
    <xf numFmtId="0" fontId="1" fillId="2" borderId="23" xfId="0" applyFont="1" applyFill="1" applyBorder="1" applyAlignment="1" applyProtection="1">
      <alignment horizontal="right" vertical="center"/>
      <protection locked="0"/>
    </xf>
    <xf numFmtId="0" fontId="1" fillId="2" borderId="15" xfId="0" applyFont="1" applyFill="1" applyBorder="1" applyAlignment="1" applyProtection="1">
      <alignment horizontal="right"/>
      <protection locked="0"/>
    </xf>
    <xf numFmtId="3" fontId="13" fillId="2" borderId="37" xfId="0" applyNumberFormat="1" applyFont="1" applyFill="1" applyBorder="1" applyProtection="1">
      <protection locked="0"/>
    </xf>
    <xf numFmtId="3" fontId="13" fillId="2" borderId="16" xfId="0" applyNumberFormat="1" applyFont="1" applyFill="1" applyBorder="1" applyProtection="1">
      <protection locked="0"/>
    </xf>
    <xf numFmtId="3" fontId="13" fillId="2" borderId="17" xfId="0" applyNumberFormat="1" applyFont="1" applyFill="1" applyBorder="1" applyProtection="1">
      <protection locked="0"/>
    </xf>
    <xf numFmtId="0" fontId="47" fillId="2" borderId="39" xfId="0" applyFont="1" applyFill="1" applyBorder="1" applyAlignment="1" applyProtection="1">
      <alignment vertical="center"/>
      <protection locked="0" hidden="1"/>
    </xf>
    <xf numFmtId="0" fontId="47" fillId="2" borderId="40" xfId="0" applyFont="1" applyFill="1" applyBorder="1" applyProtection="1">
      <protection locked="0" hidden="1"/>
    </xf>
    <xf numFmtId="0" fontId="47" fillId="2" borderId="41" xfId="0" applyFont="1" applyFill="1" applyBorder="1" applyProtection="1">
      <protection locked="0" hidden="1"/>
    </xf>
    <xf numFmtId="49" fontId="1" fillId="2" borderId="50" xfId="0" applyNumberFormat="1" applyFont="1" applyFill="1" applyBorder="1" applyAlignment="1" applyProtection="1">
      <alignment horizontal="center"/>
      <protection locked="0"/>
    </xf>
    <xf numFmtId="49" fontId="1" fillId="2" borderId="55" xfId="0" applyNumberFormat="1" applyFont="1" applyFill="1" applyBorder="1" applyAlignment="1" applyProtection="1">
      <alignment horizontal="center"/>
      <protection locked="0"/>
    </xf>
    <xf numFmtId="0" fontId="44" fillId="7" borderId="0" xfId="0" applyFont="1" applyFill="1" applyBorder="1" applyAlignment="1" applyProtection="1">
      <alignment horizontal="center" vertical="center"/>
      <protection hidden="1"/>
    </xf>
    <xf numFmtId="0" fontId="30" fillId="18" borderId="51" xfId="0" applyFont="1" applyFill="1" applyBorder="1" applyAlignment="1" applyProtection="1">
      <alignment horizontal="center"/>
      <protection hidden="1"/>
    </xf>
    <xf numFmtId="0" fontId="30" fillId="18" borderId="52" xfId="0" applyFont="1" applyFill="1" applyBorder="1" applyAlignment="1" applyProtection="1">
      <alignment horizontal="center"/>
      <protection hidden="1"/>
    </xf>
    <xf numFmtId="0" fontId="30" fillId="18" borderId="53" xfId="0" applyFont="1" applyFill="1" applyBorder="1" applyAlignment="1" applyProtection="1">
      <alignment horizontal="center"/>
      <protection hidden="1"/>
    </xf>
    <xf numFmtId="49" fontId="7" fillId="2" borderId="50" xfId="0" applyNumberFormat="1" applyFont="1" applyFill="1" applyBorder="1" applyAlignment="1" applyProtection="1">
      <alignment horizontal="center"/>
      <protection locked="0"/>
    </xf>
    <xf numFmtId="49" fontId="7" fillId="2" borderId="55" xfId="0" applyNumberFormat="1" applyFont="1" applyFill="1" applyBorder="1" applyAlignment="1" applyProtection="1">
      <alignment horizontal="center"/>
      <protection locked="0"/>
    </xf>
    <xf numFmtId="0" fontId="37" fillId="2" borderId="57" xfId="0" applyFont="1" applyFill="1" applyBorder="1" applyAlignment="1" applyProtection="1">
      <alignment horizontal="center"/>
      <protection locked="0"/>
    </xf>
    <xf numFmtId="0" fontId="37" fillId="2" borderId="58" xfId="0" applyFont="1" applyFill="1" applyBorder="1" applyAlignment="1" applyProtection="1">
      <alignment horizontal="center"/>
      <protection locked="0"/>
    </xf>
    <xf numFmtId="0" fontId="15" fillId="4" borderId="0" xfId="0" applyFont="1" applyFill="1" applyAlignment="1" applyProtection="1">
      <alignment horizontal="justify" wrapText="1"/>
      <protection hidden="1"/>
    </xf>
    <xf numFmtId="164" fontId="1" fillId="2" borderId="50" xfId="0" applyNumberFormat="1" applyFont="1" applyFill="1" applyBorder="1" applyAlignment="1" applyProtection="1">
      <alignment horizontal="center"/>
      <protection locked="0"/>
    </xf>
    <xf numFmtId="164" fontId="1" fillId="2" borderId="55" xfId="0" applyNumberFormat="1" applyFont="1" applyFill="1" applyBorder="1" applyAlignment="1" applyProtection="1">
      <alignment horizontal="center"/>
      <protection locked="0"/>
    </xf>
    <xf numFmtId="0" fontId="30" fillId="18" borderId="25" xfId="0" applyFont="1" applyFill="1" applyBorder="1" applyAlignment="1" applyProtection="1">
      <alignment horizontal="center"/>
      <protection hidden="1"/>
    </xf>
    <xf numFmtId="0" fontId="30" fillId="18" borderId="26" xfId="0" applyFont="1" applyFill="1" applyBorder="1" applyAlignment="1" applyProtection="1">
      <alignment horizontal="center"/>
      <protection hidden="1"/>
    </xf>
    <xf numFmtId="0" fontId="30" fillId="18" borderId="27" xfId="0" applyFont="1" applyFill="1" applyBorder="1" applyAlignment="1" applyProtection="1">
      <alignment horizontal="center"/>
      <protection hidden="1"/>
    </xf>
    <xf numFmtId="0" fontId="2" fillId="7" borderId="14" xfId="0" applyFont="1" applyFill="1" applyBorder="1" applyAlignment="1" applyProtection="1">
      <alignment horizontal="center" vertical="center"/>
      <protection hidden="1"/>
    </xf>
    <xf numFmtId="0" fontId="2" fillId="7" borderId="0" xfId="0" applyFont="1" applyFill="1" applyBorder="1" applyAlignment="1" applyProtection="1">
      <alignment horizontal="center" vertical="center"/>
      <protection hidden="1"/>
    </xf>
    <xf numFmtId="0" fontId="2" fillId="7" borderId="86" xfId="0" applyFont="1" applyFill="1" applyBorder="1" applyAlignment="1" applyProtection="1">
      <alignment horizontal="center" vertical="center"/>
      <protection hidden="1"/>
    </xf>
    <xf numFmtId="0" fontId="1" fillId="2" borderId="50" xfId="0" applyFont="1" applyFill="1" applyBorder="1" applyAlignment="1" applyProtection="1">
      <alignment horizontal="center"/>
      <protection locked="0"/>
    </xf>
    <xf numFmtId="0" fontId="1" fillId="2" borderId="55" xfId="0" applyFont="1" applyFill="1" applyBorder="1" applyAlignment="1" applyProtection="1">
      <alignment horizontal="center"/>
      <protection locked="0"/>
    </xf>
    <xf numFmtId="3" fontId="1" fillId="2" borderId="50" xfId="0" applyNumberFormat="1" applyFont="1" applyFill="1" applyBorder="1" applyAlignment="1" applyProtection="1">
      <alignment horizontal="center"/>
      <protection locked="0"/>
    </xf>
    <xf numFmtId="3" fontId="1" fillId="2" borderId="55" xfId="0" applyNumberFormat="1" applyFont="1" applyFill="1" applyBorder="1" applyAlignment="1" applyProtection="1">
      <alignment horizontal="center"/>
      <protection locked="0"/>
    </xf>
    <xf numFmtId="3" fontId="1" fillId="11" borderId="57" xfId="0" applyNumberFormat="1" applyFont="1" applyFill="1" applyBorder="1" applyAlignment="1" applyProtection="1">
      <alignment horizontal="center"/>
      <protection locked="0"/>
    </xf>
    <xf numFmtId="3" fontId="1" fillId="11" borderId="58" xfId="0" applyNumberFormat="1" applyFont="1" applyFill="1" applyBorder="1" applyAlignment="1" applyProtection="1">
      <alignment horizontal="center"/>
      <protection locked="0"/>
    </xf>
    <xf numFmtId="0" fontId="1" fillId="2" borderId="114" xfId="0" applyFont="1" applyFill="1" applyBorder="1" applyAlignment="1" applyProtection="1">
      <alignment horizontal="center"/>
      <protection locked="0"/>
    </xf>
    <xf numFmtId="0" fontId="56" fillId="2" borderId="115" xfId="0" applyFont="1" applyFill="1" applyBorder="1" applyAlignment="1" applyProtection="1">
      <alignment horizontal="center"/>
      <protection locked="0"/>
    </xf>
    <xf numFmtId="167" fontId="1" fillId="2" borderId="114" xfId="0" applyNumberFormat="1" applyFont="1" applyFill="1" applyBorder="1" applyAlignment="1" applyProtection="1">
      <alignment horizontal="center"/>
      <protection locked="0"/>
    </xf>
    <xf numFmtId="167" fontId="1" fillId="2" borderId="115" xfId="0" applyNumberFormat="1" applyFont="1" applyFill="1" applyBorder="1" applyAlignment="1" applyProtection="1">
      <alignment horizontal="center"/>
      <protection locked="0"/>
    </xf>
    <xf numFmtId="0" fontId="3" fillId="11" borderId="48" xfId="0" applyFont="1" applyFill="1" applyBorder="1" applyAlignment="1" applyProtection="1">
      <alignment horizontal="right"/>
      <protection hidden="1"/>
    </xf>
    <xf numFmtId="0" fontId="3" fillId="11" borderId="37" xfId="0" applyFont="1" applyFill="1" applyBorder="1" applyAlignment="1" applyProtection="1">
      <alignment horizontal="right"/>
      <protection hidden="1"/>
    </xf>
    <xf numFmtId="0" fontId="30" fillId="18" borderId="44" xfId="0" applyFont="1" applyFill="1" applyBorder="1" applyAlignment="1" applyProtection="1">
      <alignment horizontal="center" vertical="center"/>
      <protection hidden="1"/>
    </xf>
    <xf numFmtId="0" fontId="30" fillId="18" borderId="34" xfId="0" applyFont="1" applyFill="1" applyBorder="1" applyAlignment="1" applyProtection="1">
      <alignment horizontal="center" vertical="center"/>
      <protection hidden="1"/>
    </xf>
    <xf numFmtId="0" fontId="16" fillId="5" borderId="0" xfId="0" applyFont="1" applyFill="1" applyBorder="1" applyAlignment="1" applyProtection="1">
      <alignment horizontal="center"/>
      <protection hidden="1"/>
    </xf>
    <xf numFmtId="0" fontId="31" fillId="18" borderId="28" xfId="0" applyFont="1" applyFill="1" applyBorder="1" applyAlignment="1" applyProtection="1">
      <alignment horizontal="center"/>
      <protection hidden="1"/>
    </xf>
    <xf numFmtId="0" fontId="31" fillId="18" borderId="29" xfId="0" applyFont="1" applyFill="1" applyBorder="1" applyAlignment="1" applyProtection="1">
      <alignment horizontal="center"/>
      <protection hidden="1"/>
    </xf>
    <xf numFmtId="0" fontId="31" fillId="18" borderId="30" xfId="0" applyFont="1" applyFill="1" applyBorder="1" applyAlignment="1" applyProtection="1">
      <alignment horizontal="center"/>
      <protection hidden="1"/>
    </xf>
    <xf numFmtId="0" fontId="3" fillId="11" borderId="45" xfId="0" applyFont="1" applyFill="1" applyBorder="1" applyAlignment="1" applyProtection="1">
      <alignment horizontal="right"/>
      <protection hidden="1"/>
    </xf>
    <xf numFmtId="0" fontId="3" fillId="11" borderId="46" xfId="0" applyFont="1" applyFill="1" applyBorder="1" applyAlignment="1" applyProtection="1">
      <alignment horizontal="right"/>
      <protection hidden="1"/>
    </xf>
    <xf numFmtId="0" fontId="3" fillId="11" borderId="47" xfId="0" applyFont="1" applyFill="1" applyBorder="1" applyAlignment="1" applyProtection="1">
      <alignment horizontal="right"/>
      <protection hidden="1"/>
    </xf>
    <xf numFmtId="0" fontId="3" fillId="11" borderId="36" xfId="0" applyFont="1" applyFill="1" applyBorder="1" applyAlignment="1" applyProtection="1">
      <alignment horizontal="right"/>
      <protection hidden="1"/>
    </xf>
    <xf numFmtId="3" fontId="33" fillId="14" borderId="95" xfId="0" applyNumberFormat="1" applyFont="1" applyFill="1" applyBorder="1" applyAlignment="1" applyProtection="1">
      <alignment horizontal="center" vertical="center" wrapText="1"/>
      <protection hidden="1"/>
    </xf>
    <xf numFmtId="3" fontId="33" fillId="14" borderId="39" xfId="0" applyNumberFormat="1" applyFont="1" applyFill="1" applyBorder="1" applyAlignment="1" applyProtection="1">
      <alignment horizontal="center" vertical="center" wrapText="1"/>
      <protection hidden="1"/>
    </xf>
    <xf numFmtId="3" fontId="33" fillId="16" borderId="95" xfId="0" applyNumberFormat="1" applyFont="1" applyFill="1" applyBorder="1" applyAlignment="1" applyProtection="1">
      <alignment horizontal="center" vertical="center" wrapText="1"/>
      <protection hidden="1"/>
    </xf>
    <xf numFmtId="3" fontId="33" fillId="16" borderId="39" xfId="0" applyNumberFormat="1" applyFont="1" applyFill="1" applyBorder="1" applyAlignment="1" applyProtection="1">
      <alignment horizontal="center" vertical="center" wrapText="1"/>
      <protection hidden="1"/>
    </xf>
    <xf numFmtId="0" fontId="7" fillId="19" borderId="28" xfId="0" applyFont="1" applyFill="1" applyBorder="1" applyAlignment="1" applyProtection="1">
      <alignment horizontal="center" vertical="center"/>
      <protection hidden="1"/>
    </xf>
    <xf numFmtId="0" fontId="7" fillId="19" borderId="29" xfId="0" applyFont="1" applyFill="1" applyBorder="1" applyAlignment="1" applyProtection="1">
      <alignment horizontal="center" vertical="center"/>
      <protection hidden="1"/>
    </xf>
    <xf numFmtId="0" fontId="7" fillId="19" borderId="30" xfId="0" applyFont="1" applyFill="1" applyBorder="1" applyAlignment="1" applyProtection="1">
      <alignment horizontal="center" vertical="center"/>
      <protection hidden="1"/>
    </xf>
    <xf numFmtId="0" fontId="7" fillId="6" borderId="28" xfId="0" applyFont="1" applyFill="1" applyBorder="1" applyAlignment="1" applyProtection="1">
      <alignment horizontal="center" vertical="center"/>
      <protection hidden="1"/>
    </xf>
    <xf numFmtId="0" fontId="7" fillId="6" borderId="29" xfId="0" applyFont="1" applyFill="1" applyBorder="1" applyAlignment="1" applyProtection="1">
      <alignment horizontal="center" vertical="center"/>
      <protection hidden="1"/>
    </xf>
    <xf numFmtId="0" fontId="7" fillId="6" borderId="30" xfId="0" applyFont="1" applyFill="1" applyBorder="1" applyAlignment="1" applyProtection="1">
      <alignment horizontal="center" vertical="center"/>
      <protection hidden="1"/>
    </xf>
    <xf numFmtId="3" fontId="1" fillId="2" borderId="106" xfId="0" applyNumberFormat="1" applyFont="1" applyFill="1" applyBorder="1" applyAlignment="1" applyProtection="1">
      <alignment horizontal="center"/>
      <protection locked="0"/>
    </xf>
    <xf numFmtId="3" fontId="1" fillId="2" borderId="107" xfId="0" applyNumberFormat="1" applyFont="1" applyFill="1" applyBorder="1" applyAlignment="1" applyProtection="1">
      <alignment horizontal="center"/>
      <protection locked="0"/>
    </xf>
    <xf numFmtId="3" fontId="1" fillId="2" borderId="90" xfId="0" applyNumberFormat="1" applyFont="1" applyFill="1" applyBorder="1" applyAlignment="1" applyProtection="1">
      <alignment horizontal="center"/>
      <protection locked="0"/>
    </xf>
    <xf numFmtId="3" fontId="1" fillId="2" borderId="108" xfId="0" applyNumberFormat="1" applyFont="1" applyFill="1" applyBorder="1" applyAlignment="1" applyProtection="1">
      <alignment horizontal="center"/>
      <protection locked="0"/>
    </xf>
    <xf numFmtId="0" fontId="36" fillId="18" borderId="26" xfId="0" applyFont="1" applyFill="1" applyBorder="1" applyAlignment="1" applyProtection="1">
      <alignment horizontal="center"/>
      <protection hidden="1"/>
    </xf>
    <xf numFmtId="0" fontId="36" fillId="18" borderId="27" xfId="0" applyFont="1" applyFill="1" applyBorder="1" applyAlignment="1" applyProtection="1">
      <alignment horizontal="center"/>
      <protection hidden="1"/>
    </xf>
    <xf numFmtId="0" fontId="32" fillId="16" borderId="100" xfId="0" applyFont="1" applyFill="1" applyBorder="1" applyAlignment="1" applyProtection="1">
      <alignment horizontal="center" vertical="center"/>
      <protection hidden="1"/>
    </xf>
    <xf numFmtId="0" fontId="32" fillId="16" borderId="99" xfId="0" applyFont="1" applyFill="1" applyBorder="1" applyAlignment="1" applyProtection="1">
      <alignment horizontal="center" vertical="center"/>
      <protection hidden="1"/>
    </xf>
    <xf numFmtId="0" fontId="32" fillId="16" borderId="101" xfId="0" applyFont="1" applyFill="1" applyBorder="1" applyAlignment="1" applyProtection="1">
      <alignment horizontal="center" vertical="center"/>
      <protection hidden="1"/>
    </xf>
    <xf numFmtId="0" fontId="32" fillId="14" borderId="176" xfId="0" applyFont="1" applyFill="1" applyBorder="1" applyAlignment="1" applyProtection="1">
      <alignment horizontal="center" vertical="center"/>
      <protection hidden="1"/>
    </xf>
    <xf numFmtId="0" fontId="32" fillId="14" borderId="177" xfId="0" applyFont="1" applyFill="1" applyBorder="1" applyAlignment="1" applyProtection="1">
      <alignment horizontal="center" vertical="center"/>
      <protection hidden="1"/>
    </xf>
    <xf numFmtId="0" fontId="32" fillId="14" borderId="178" xfId="0" applyFont="1" applyFill="1" applyBorder="1" applyAlignment="1" applyProtection="1">
      <alignment horizontal="center" vertical="center"/>
      <protection hidden="1"/>
    </xf>
    <xf numFmtId="0" fontId="1" fillId="2" borderId="48" xfId="0" applyFont="1" applyFill="1" applyBorder="1" applyAlignment="1" applyProtection="1">
      <alignment horizontal="right"/>
      <protection locked="0"/>
    </xf>
    <xf numFmtId="0" fontId="1" fillId="2" borderId="37" xfId="0" applyFont="1" applyFill="1" applyBorder="1" applyAlignment="1" applyProtection="1">
      <alignment horizontal="right"/>
      <protection locked="0"/>
    </xf>
    <xf numFmtId="0" fontId="32" fillId="14" borderId="44" xfId="0" applyFont="1" applyFill="1" applyBorder="1" applyAlignment="1" applyProtection="1">
      <alignment horizontal="center" vertical="center"/>
      <protection hidden="1"/>
    </xf>
    <xf numFmtId="0" fontId="32" fillId="14" borderId="88" xfId="0" applyFont="1" applyFill="1" applyBorder="1" applyAlignment="1" applyProtection="1">
      <alignment horizontal="center" vertical="center"/>
      <protection hidden="1"/>
    </xf>
    <xf numFmtId="0" fontId="32" fillId="14" borderId="43" xfId="0" applyFont="1" applyFill="1" applyBorder="1" applyAlignment="1" applyProtection="1">
      <alignment horizontal="center" vertical="center"/>
      <protection hidden="1"/>
    </xf>
    <xf numFmtId="0" fontId="31" fillId="18" borderId="14" xfId="0" applyFont="1" applyFill="1" applyBorder="1" applyAlignment="1" applyProtection="1">
      <alignment horizontal="center"/>
      <protection hidden="1"/>
    </xf>
    <xf numFmtId="0" fontId="31" fillId="18" borderId="0" xfId="0" applyFont="1" applyFill="1" applyBorder="1" applyAlignment="1" applyProtection="1">
      <alignment horizontal="center"/>
      <protection hidden="1"/>
    </xf>
    <xf numFmtId="0" fontId="1" fillId="2" borderId="47" xfId="0" applyFont="1" applyFill="1" applyBorder="1" applyAlignment="1" applyProtection="1">
      <alignment horizontal="right"/>
      <protection locked="0"/>
    </xf>
    <xf numFmtId="0" fontId="1" fillId="2" borderId="36" xfId="0" applyFont="1" applyFill="1" applyBorder="1" applyAlignment="1" applyProtection="1">
      <alignment horizontal="right"/>
      <protection locked="0"/>
    </xf>
    <xf numFmtId="0" fontId="32" fillId="18" borderId="44" xfId="0" applyFont="1" applyFill="1" applyBorder="1" applyAlignment="1" applyProtection="1">
      <alignment horizontal="center" vertical="center"/>
      <protection hidden="1"/>
    </xf>
    <xf numFmtId="0" fontId="32" fillId="18" borderId="34" xfId="0" applyFont="1" applyFill="1" applyBorder="1" applyAlignment="1" applyProtection="1">
      <alignment horizontal="center" vertical="center"/>
      <protection hidden="1"/>
    </xf>
    <xf numFmtId="0" fontId="3" fillId="2" borderId="45" xfId="0" applyFont="1" applyFill="1" applyBorder="1" applyAlignment="1" applyProtection="1">
      <alignment horizontal="right"/>
      <protection locked="0"/>
    </xf>
    <xf numFmtId="0" fontId="3" fillId="2" borderId="46" xfId="0" applyFont="1" applyFill="1" applyBorder="1" applyAlignment="1" applyProtection="1">
      <alignment horizontal="right"/>
      <protection locked="0"/>
    </xf>
    <xf numFmtId="0" fontId="18" fillId="4" borderId="116" xfId="0" applyFont="1" applyFill="1" applyBorder="1" applyAlignment="1" applyProtection="1">
      <alignment horizontal="center"/>
      <protection hidden="1"/>
    </xf>
    <xf numFmtId="0" fontId="27" fillId="13" borderId="14" xfId="0" applyFont="1" applyFill="1" applyBorder="1" applyAlignment="1" applyProtection="1">
      <alignment horizontal="center"/>
      <protection hidden="1"/>
    </xf>
    <xf numFmtId="0" fontId="27" fillId="13" borderId="0" xfId="0" applyFont="1" applyFill="1" applyAlignment="1" applyProtection="1">
      <alignment horizontal="center"/>
      <protection hidden="1"/>
    </xf>
    <xf numFmtId="0" fontId="27" fillId="13" borderId="86" xfId="0" applyFont="1" applyFill="1" applyBorder="1" applyAlignment="1" applyProtection="1">
      <alignment horizontal="center"/>
      <protection hidden="1"/>
    </xf>
    <xf numFmtId="0" fontId="27" fillId="13" borderId="104" xfId="0" applyFont="1" applyFill="1" applyBorder="1" applyAlignment="1" applyProtection="1">
      <alignment horizontal="center" vertical="center"/>
      <protection hidden="1"/>
    </xf>
    <xf numFmtId="0" fontId="27" fillId="13" borderId="93" xfId="0" applyFont="1" applyFill="1" applyBorder="1" applyAlignment="1" applyProtection="1">
      <alignment horizontal="center" vertical="center"/>
      <protection hidden="1"/>
    </xf>
    <xf numFmtId="0" fontId="27" fillId="13" borderId="105" xfId="0" applyFont="1" applyFill="1" applyBorder="1" applyAlignment="1" applyProtection="1">
      <alignment horizontal="center" vertical="center"/>
      <protection hidden="1"/>
    </xf>
    <xf numFmtId="0" fontId="43" fillId="18" borderId="162" xfId="0" applyFont="1" applyFill="1" applyBorder="1" applyAlignment="1" applyProtection="1">
      <alignment horizontal="center" vertical="center" wrapText="1"/>
      <protection hidden="1"/>
    </xf>
    <xf numFmtId="0" fontId="43" fillId="18" borderId="163" xfId="0" applyFont="1" applyFill="1" applyBorder="1" applyAlignment="1" applyProtection="1">
      <alignment horizontal="center" vertical="center" wrapText="1"/>
      <protection hidden="1"/>
    </xf>
    <xf numFmtId="0" fontId="8" fillId="3" borderId="28" xfId="0" applyFont="1" applyFill="1" applyBorder="1" applyAlignment="1" applyProtection="1">
      <alignment horizontal="right" vertical="center"/>
      <protection hidden="1"/>
    </xf>
    <xf numFmtId="0" fontId="8" fillId="3" borderId="29" xfId="0" applyFont="1" applyFill="1" applyBorder="1" applyAlignment="1" applyProtection="1">
      <alignment horizontal="right" vertical="center"/>
      <protection hidden="1"/>
    </xf>
    <xf numFmtId="0" fontId="8" fillId="3" borderId="111" xfId="0" applyFont="1" applyFill="1" applyBorder="1" applyAlignment="1" applyProtection="1">
      <alignment horizontal="right" vertical="center"/>
      <protection hidden="1"/>
    </xf>
    <xf numFmtId="3" fontId="12" fillId="5" borderId="116" xfId="0" applyNumberFormat="1" applyFont="1" applyFill="1" applyBorder="1" applyAlignment="1" applyProtection="1">
      <alignment horizontal="center"/>
      <protection hidden="1"/>
    </xf>
    <xf numFmtId="0" fontId="16" fillId="5" borderId="116" xfId="0" applyFont="1" applyFill="1" applyBorder="1" applyAlignment="1" applyProtection="1">
      <alignment horizontal="center"/>
      <protection hidden="1"/>
    </xf>
    <xf numFmtId="0" fontId="36" fillId="14" borderId="169" xfId="0" applyFont="1" applyFill="1" applyBorder="1" applyAlignment="1" applyProtection="1">
      <alignment horizontal="center" vertical="center" wrapText="1"/>
      <protection hidden="1"/>
    </xf>
    <xf numFmtId="0" fontId="36" fillId="14" borderId="170" xfId="0" applyFont="1" applyFill="1" applyBorder="1" applyAlignment="1" applyProtection="1">
      <alignment horizontal="center" vertical="center" wrapText="1"/>
      <protection hidden="1"/>
    </xf>
    <xf numFmtId="0" fontId="7" fillId="4" borderId="153" xfId="0" applyFont="1" applyFill="1" applyBorder="1" applyAlignment="1">
      <alignment horizontal="center"/>
    </xf>
    <xf numFmtId="0" fontId="7" fillId="4" borderId="154" xfId="0" applyFont="1" applyFill="1" applyBorder="1" applyAlignment="1">
      <alignment horizontal="center"/>
    </xf>
    <xf numFmtId="0" fontId="7" fillId="4" borderId="155" xfId="0" applyFont="1" applyFill="1" applyBorder="1" applyAlignment="1">
      <alignment horizontal="center"/>
    </xf>
    <xf numFmtId="0" fontId="7" fillId="4" borderId="151" xfId="0" applyFont="1" applyFill="1" applyBorder="1" applyAlignment="1">
      <alignment horizontal="center"/>
    </xf>
    <xf numFmtId="0" fontId="7" fillId="4" borderId="146" xfId="0" applyFont="1" applyFill="1" applyBorder="1" applyAlignment="1">
      <alignment horizontal="center"/>
    </xf>
    <xf numFmtId="0" fontId="7" fillId="4" borderId="152" xfId="0" applyFont="1" applyFill="1" applyBorder="1" applyAlignment="1">
      <alignment horizontal="center"/>
    </xf>
    <xf numFmtId="0" fontId="7" fillId="4" borderId="156" xfId="0" applyFont="1" applyFill="1" applyBorder="1" applyAlignment="1">
      <alignment horizontal="center"/>
    </xf>
    <xf numFmtId="0" fontId="7" fillId="4" borderId="157" xfId="0" applyFont="1" applyFill="1" applyBorder="1" applyAlignment="1">
      <alignment horizontal="center"/>
    </xf>
    <xf numFmtId="0" fontId="7" fillId="4" borderId="158" xfId="0" applyFont="1" applyFill="1" applyBorder="1" applyAlignment="1">
      <alignment horizontal="center"/>
    </xf>
    <xf numFmtId="0" fontId="46" fillId="4" borderId="167" xfId="0" applyFont="1" applyFill="1" applyBorder="1" applyAlignment="1">
      <alignment horizontal="center"/>
    </xf>
    <xf numFmtId="0" fontId="46" fillId="4" borderId="18" xfId="0" applyFont="1" applyFill="1" applyBorder="1" applyAlignment="1">
      <alignment horizontal="center"/>
    </xf>
    <xf numFmtId="0" fontId="46" fillId="4" borderId="168" xfId="0" applyFont="1" applyFill="1" applyBorder="1" applyAlignment="1">
      <alignment horizontal="center"/>
    </xf>
    <xf numFmtId="0" fontId="7" fillId="19" borderId="28" xfId="0" applyFont="1" applyFill="1" applyBorder="1" applyAlignment="1">
      <alignment horizontal="center" vertical="center"/>
    </xf>
    <xf numFmtId="0" fontId="7" fillId="19" borderId="29" xfId="0" applyFont="1" applyFill="1" applyBorder="1" applyAlignment="1">
      <alignment horizontal="center" vertical="center"/>
    </xf>
    <xf numFmtId="0" fontId="7" fillId="19" borderId="30"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30" xfId="0" applyFont="1" applyFill="1" applyBorder="1" applyAlignment="1">
      <alignment horizontal="center" vertical="center"/>
    </xf>
    <xf numFmtId="0" fontId="18" fillId="4" borderId="116" xfId="0" applyFont="1" applyFill="1" applyBorder="1" applyAlignment="1">
      <alignment horizontal="center"/>
    </xf>
    <xf numFmtId="0" fontId="5" fillId="12" borderId="19" xfId="0" applyFont="1" applyFill="1" applyBorder="1" applyAlignment="1">
      <alignment horizontal="center"/>
    </xf>
    <xf numFmtId="0" fontId="5" fillId="12" borderId="20" xfId="0" applyFont="1" applyFill="1" applyBorder="1" applyAlignment="1">
      <alignment horizontal="center"/>
    </xf>
    <xf numFmtId="0" fontId="5" fillId="12" borderId="21" xfId="0" applyFont="1" applyFill="1" applyBorder="1" applyAlignment="1">
      <alignment horizontal="center"/>
    </xf>
    <xf numFmtId="0" fontId="5" fillId="2" borderId="179" xfId="0" applyFont="1" applyFill="1" applyBorder="1" applyAlignment="1" applyProtection="1">
      <alignment horizontal="center"/>
      <protection locked="0" hidden="1"/>
    </xf>
    <xf numFmtId="0" fontId="5" fillId="2" borderId="180" xfId="0" applyFont="1" applyFill="1" applyBorder="1" applyAlignment="1" applyProtection="1">
      <alignment horizontal="center"/>
      <protection locked="0" hidden="1"/>
    </xf>
    <xf numFmtId="0" fontId="7" fillId="0" borderId="14" xfId="0" applyFont="1" applyBorder="1" applyAlignment="1">
      <alignment horizontal="justify" wrapText="1"/>
    </xf>
    <xf numFmtId="0" fontId="7" fillId="0" borderId="0" xfId="0" applyFont="1" applyBorder="1" applyAlignment="1">
      <alignment horizontal="justify" wrapText="1"/>
    </xf>
    <xf numFmtId="0" fontId="7" fillId="0" borderId="86" xfId="0" applyFont="1" applyBorder="1" applyAlignment="1">
      <alignment horizontal="justify" wrapText="1"/>
    </xf>
    <xf numFmtId="0" fontId="7" fillId="0" borderId="167" xfId="0" applyFont="1" applyBorder="1" applyAlignment="1">
      <alignment horizontal="justify" wrapText="1"/>
    </xf>
    <xf numFmtId="0" fontId="7" fillId="0" borderId="18" xfId="0" applyFont="1" applyBorder="1" applyAlignment="1">
      <alignment horizontal="justify" wrapText="1"/>
    </xf>
    <xf numFmtId="0" fontId="7" fillId="0" borderId="168" xfId="0" applyFont="1" applyBorder="1" applyAlignment="1">
      <alignment horizontal="justify" wrapText="1"/>
    </xf>
    <xf numFmtId="0" fontId="9" fillId="0" borderId="138" xfId="0" applyFont="1" applyBorder="1" applyAlignment="1">
      <alignment horizontal="center"/>
    </xf>
    <xf numFmtId="0" fontId="9" fillId="0" borderId="116" xfId="0" applyFont="1" applyBorder="1" applyAlignment="1">
      <alignment horizontal="center"/>
    </xf>
    <xf numFmtId="0" fontId="9" fillId="0" borderId="131" xfId="0" applyFont="1" applyBorder="1" applyAlignment="1">
      <alignment horizontal="center"/>
    </xf>
    <xf numFmtId="0" fontId="27" fillId="0" borderId="144" xfId="0" applyFont="1" applyBorder="1" applyAlignment="1">
      <alignment horizontal="center"/>
    </xf>
    <xf numFmtId="0" fontId="27" fillId="0" borderId="0" xfId="0" applyFont="1" applyBorder="1" applyAlignment="1">
      <alignment horizontal="center"/>
    </xf>
    <xf numFmtId="0" fontId="27" fillId="0" borderId="145" xfId="0" applyFont="1" applyBorder="1" applyAlignment="1">
      <alignment horizontal="center"/>
    </xf>
    <xf numFmtId="0" fontId="7" fillId="0" borderId="14" xfId="0" applyFont="1" applyBorder="1" applyAlignment="1">
      <alignment horizontal="left" wrapText="1"/>
    </xf>
    <xf numFmtId="0" fontId="7" fillId="0" borderId="0" xfId="0" applyFont="1" applyBorder="1" applyAlignment="1">
      <alignment horizontal="left" wrapText="1"/>
    </xf>
    <xf numFmtId="0" fontId="7" fillId="0" borderId="86" xfId="0" applyFont="1" applyBorder="1" applyAlignment="1">
      <alignment horizontal="left" wrapText="1"/>
    </xf>
    <xf numFmtId="0" fontId="48" fillId="0" borderId="14" xfId="0" applyFont="1" applyBorder="1" applyAlignment="1">
      <alignment horizontal="left" wrapText="1"/>
    </xf>
    <xf numFmtId="0" fontId="48" fillId="0" borderId="0" xfId="0" applyFont="1" applyBorder="1" applyAlignment="1">
      <alignment horizontal="left" wrapText="1"/>
    </xf>
    <xf numFmtId="0" fontId="48" fillId="0" borderId="86" xfId="0" applyFont="1" applyBorder="1" applyAlignment="1">
      <alignment horizontal="left" wrapText="1"/>
    </xf>
    <xf numFmtId="0" fontId="7" fillId="0" borderId="171" xfId="0" applyFont="1" applyBorder="1" applyAlignment="1">
      <alignment horizontal="justify" wrapText="1"/>
    </xf>
    <xf numFmtId="0" fontId="7" fillId="0" borderId="172" xfId="0" applyFont="1" applyBorder="1" applyAlignment="1">
      <alignment horizontal="justify" wrapText="1"/>
    </xf>
    <xf numFmtId="0" fontId="7" fillId="0" borderId="173" xfId="0" applyFont="1" applyBorder="1" applyAlignment="1">
      <alignment horizontal="justify" wrapText="1"/>
    </xf>
    <xf numFmtId="0" fontId="7" fillId="2" borderId="14" xfId="0" applyFont="1" applyFill="1" applyBorder="1" applyAlignment="1">
      <alignment horizontal="justify" wrapText="1"/>
    </xf>
    <xf numFmtId="0" fontId="7" fillId="2" borderId="0" xfId="0" applyFont="1" applyFill="1" applyBorder="1" applyAlignment="1">
      <alignment horizontal="justify" wrapText="1"/>
    </xf>
    <xf numFmtId="0" fontId="7" fillId="2" borderId="86" xfId="0" applyFont="1" applyFill="1" applyBorder="1" applyAlignment="1">
      <alignment horizontal="justify" wrapText="1"/>
    </xf>
    <xf numFmtId="0" fontId="35" fillId="18" borderId="138" xfId="0" applyFont="1" applyFill="1" applyBorder="1" applyAlignment="1">
      <alignment horizontal="center" vertical="center"/>
    </xf>
    <xf numFmtId="0" fontId="35" fillId="18" borderId="116" xfId="0" applyFont="1" applyFill="1" applyBorder="1" applyAlignment="1">
      <alignment horizontal="center" vertical="center"/>
    </xf>
    <xf numFmtId="0" fontId="35" fillId="18" borderId="131" xfId="0" applyFont="1" applyFill="1" applyBorder="1" applyAlignment="1">
      <alignment horizontal="center" vertical="center"/>
    </xf>
    <xf numFmtId="0" fontId="27" fillId="0" borderId="104" xfId="0" applyFont="1" applyBorder="1" applyAlignment="1">
      <alignment horizontal="center"/>
    </xf>
    <xf numFmtId="0" fontId="27" fillId="0" borderId="93" xfId="0" applyFont="1" applyBorder="1" applyAlignment="1">
      <alignment horizontal="center"/>
    </xf>
    <xf numFmtId="0" fontId="27" fillId="0" borderId="105" xfId="0" applyFont="1" applyBorder="1" applyAlignment="1">
      <alignment horizontal="center"/>
    </xf>
    <xf numFmtId="0" fontId="27" fillId="0" borderId="14" xfId="0" applyFont="1" applyBorder="1" applyAlignment="1">
      <alignment horizontal="center" wrapText="1"/>
    </xf>
    <xf numFmtId="0" fontId="27" fillId="0" borderId="0" xfId="0" applyFont="1" applyBorder="1" applyAlignment="1">
      <alignment horizontal="center" wrapText="1"/>
    </xf>
    <xf numFmtId="0" fontId="27" fillId="0" borderId="86" xfId="0" applyFont="1" applyBorder="1" applyAlignment="1">
      <alignment horizontal="center" wrapText="1"/>
    </xf>
    <xf numFmtId="0" fontId="7" fillId="0" borderId="14" xfId="0" applyFont="1" applyBorder="1" applyAlignment="1">
      <alignment horizontal="justify"/>
    </xf>
    <xf numFmtId="0" fontId="7" fillId="0" borderId="0" xfId="0" applyFont="1" applyBorder="1" applyAlignment="1">
      <alignment horizontal="justify"/>
    </xf>
    <xf numFmtId="0" fontId="7" fillId="0" borderId="86" xfId="0" applyFont="1" applyBorder="1" applyAlignment="1">
      <alignment horizontal="justify"/>
    </xf>
    <xf numFmtId="0" fontId="48" fillId="10" borderId="167" xfId="0" applyFont="1" applyFill="1" applyBorder="1" applyAlignment="1" applyProtection="1">
      <alignment horizontal="left" vertical="top" wrapText="1"/>
      <protection locked="0"/>
    </xf>
    <xf numFmtId="0" fontId="48" fillId="10" borderId="18" xfId="0" applyFont="1" applyFill="1" applyBorder="1" applyAlignment="1" applyProtection="1">
      <alignment horizontal="left" vertical="top" wrapText="1"/>
      <protection locked="0"/>
    </xf>
    <xf numFmtId="0" fontId="48" fillId="10" borderId="168" xfId="0" applyFont="1" applyFill="1" applyBorder="1" applyAlignment="1" applyProtection="1">
      <alignment horizontal="left" vertical="top" wrapText="1"/>
      <protection locked="0"/>
    </xf>
    <xf numFmtId="0" fontId="49" fillId="0" borderId="138" xfId="0" applyFont="1" applyBorder="1" applyAlignment="1">
      <alignment horizontal="center" wrapText="1"/>
    </xf>
    <xf numFmtId="0" fontId="49" fillId="0" borderId="116" xfId="0" applyFont="1" applyBorder="1" applyAlignment="1">
      <alignment horizontal="center" wrapText="1"/>
    </xf>
    <xf numFmtId="0" fontId="49" fillId="0" borderId="131" xfId="0" applyFont="1" applyBorder="1" applyAlignment="1">
      <alignment horizontal="center" wrapText="1"/>
    </xf>
    <xf numFmtId="0" fontId="50" fillId="18" borderId="0" xfId="0" applyFont="1" applyFill="1" applyAlignment="1">
      <alignment horizontal="center"/>
    </xf>
    <xf numFmtId="0" fontId="46" fillId="0" borderId="138" xfId="0" applyFont="1" applyBorder="1" applyAlignment="1">
      <alignment horizontal="center"/>
    </xf>
    <xf numFmtId="0" fontId="46" fillId="0" borderId="116" xfId="0" applyFont="1" applyBorder="1" applyAlignment="1">
      <alignment horizontal="center"/>
    </xf>
    <xf numFmtId="0" fontId="46" fillId="0" borderId="131" xfId="0" applyFont="1" applyBorder="1" applyAlignment="1">
      <alignment horizontal="center"/>
    </xf>
    <xf numFmtId="0" fontId="7" fillId="0" borderId="143" xfId="0" applyFont="1" applyBorder="1" applyAlignment="1">
      <alignment horizontal="center"/>
    </xf>
    <xf numFmtId="0" fontId="48" fillId="0" borderId="14" xfId="0" applyFont="1" applyBorder="1" applyAlignment="1">
      <alignment horizontal="justify" wrapText="1"/>
    </xf>
    <xf numFmtId="0" fontId="48" fillId="0" borderId="0" xfId="0" applyFont="1" applyBorder="1" applyAlignment="1">
      <alignment horizontal="justify" wrapText="1"/>
    </xf>
    <xf numFmtId="0" fontId="48" fillId="0" borderId="86" xfId="0" applyFont="1" applyBorder="1" applyAlignment="1">
      <alignment horizontal="justify" wrapText="1"/>
    </xf>
    <xf numFmtId="0" fontId="35" fillId="18" borderId="89" xfId="0" applyFont="1" applyFill="1" applyBorder="1" applyAlignment="1">
      <alignment horizontal="center" vertical="center"/>
    </xf>
    <xf numFmtId="0" fontId="35" fillId="18" borderId="120" xfId="0" applyFont="1" applyFill="1" applyBorder="1" applyAlignment="1">
      <alignment horizontal="center" vertical="center"/>
    </xf>
    <xf numFmtId="0" fontId="35" fillId="18" borderId="36" xfId="0" applyFont="1" applyFill="1" applyBorder="1" applyAlignment="1">
      <alignment horizontal="center" vertical="center"/>
    </xf>
    <xf numFmtId="0" fontId="59" fillId="4" borderId="0" xfId="0" applyFont="1" applyFill="1" applyProtection="1">
      <protection hidden="1"/>
    </xf>
  </cellXfs>
  <cellStyles count="2">
    <cellStyle name="Normal" xfId="0" builtinId="0"/>
    <cellStyle name="Pourcentage" xfId="1" builtinId="5"/>
  </cellStyles>
  <dxfs count="2">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BF11A6"/>
      <color rgb="FFFCFFE7"/>
      <color rgb="FFFEFFF7"/>
      <color rgb="FFECFEF5"/>
      <color rgb="FF2B956A"/>
      <color rgb="FFE6F3FE"/>
      <color rgb="FF25AB5E"/>
      <color rgb="FFFDCBF5"/>
      <color rgb="FFFBA3EC"/>
      <color rgb="FF25AD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elanrural.fr/index.php/2025/03/16/outil-simple-et-efficace-danalyse-financiere-des-collectivi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50803</xdr:colOff>
      <xdr:row>0</xdr:row>
      <xdr:rowOff>0</xdr:rowOff>
    </xdr:from>
    <xdr:to>
      <xdr:col>1</xdr:col>
      <xdr:colOff>1119189</xdr:colOff>
      <xdr:row>4</xdr:row>
      <xdr:rowOff>276405</xdr:rowOff>
    </xdr:to>
    <xdr:pic>
      <xdr:nvPicPr>
        <xdr:cNvPr id="4" name="Image 3">
          <a:extLst>
            <a:ext uri="{FF2B5EF4-FFF2-40B4-BE49-F238E27FC236}">
              <a16:creationId xmlns:a16="http://schemas.microsoft.com/office/drawing/2014/main" id="{1F7C1818-624E-5D92-2FE2-0B2832416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553" y="0"/>
          <a:ext cx="1068386" cy="1067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1114779</xdr:colOff>
      <xdr:row>0</xdr:row>
      <xdr:rowOff>197556</xdr:rowOff>
    </xdr:from>
    <xdr:ext cx="5750278" cy="959555"/>
    <xdr:sp macro="" textlink="">
      <xdr:nvSpPr>
        <xdr:cNvPr id="2" name="ZoneTexte 1">
          <a:hlinkClick xmlns:r="http://schemas.openxmlformats.org/officeDocument/2006/relationships" r:id="rId2"/>
          <a:extLst>
            <a:ext uri="{FF2B5EF4-FFF2-40B4-BE49-F238E27FC236}">
              <a16:creationId xmlns:a16="http://schemas.microsoft.com/office/drawing/2014/main" id="{C4AE02FC-7C86-35CA-F5B5-5DFA5DB198EC}"/>
            </a:ext>
          </a:extLst>
        </xdr:cNvPr>
        <xdr:cNvSpPr txBox="1"/>
      </xdr:nvSpPr>
      <xdr:spPr>
        <a:xfrm>
          <a:off x="1411112" y="197556"/>
          <a:ext cx="5750278" cy="95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spcAft>
              <a:spcPts val="400"/>
            </a:spcAft>
          </a:pPr>
          <a:r>
            <a:rPr lang="fr-FR" sz="800">
              <a:solidFill>
                <a:schemeClr val="dk1">
                  <a:alpha val="99000"/>
                </a:schemeClr>
              </a:solidFill>
              <a:latin typeface="Ebrima" panose="02000000000000000000" pitchFamily="2" charset="0"/>
              <a:ea typeface="Ebrima" panose="02000000000000000000" pitchFamily="2" charset="0"/>
              <a:cs typeface="Ebrima" panose="02000000000000000000" pitchFamily="2" charset="0"/>
            </a:rPr>
            <a:t>Outil proposé gratuitement pour accompagner les gestionnaires de petites et moyennent collectivités à réaliser des analyses et projections financières sans être expert dans ce domaine.</a:t>
          </a:r>
        </a:p>
        <a:p>
          <a:r>
            <a:rPr lang="fr-FR" sz="800">
              <a:solidFill>
                <a:schemeClr val="dk1">
                  <a:alpha val="99000"/>
                </a:schemeClr>
              </a:solidFill>
              <a:latin typeface="Ebrima" panose="02000000000000000000" pitchFamily="2" charset="0"/>
              <a:ea typeface="Ebrima" panose="02000000000000000000" pitchFamily="2" charset="0"/>
              <a:cs typeface="Ebrima" panose="02000000000000000000" pitchFamily="2" charset="0"/>
            </a:rPr>
            <a:t>💡Il est recommandé de consulter le guide d'utilisation ainsi que la rubrique d’ElanRural.fr consacrée à l’apprentissage de la méthode d’analyse financière des petites collectivités =&gt; [Cliquez-ici</a:t>
          </a:r>
          <a:r>
            <a:rPr lang="fr-FR" sz="800">
              <a:solidFill>
                <a:schemeClr val="dk1">
                  <a:alpha val="99000"/>
                </a:schemeClr>
              </a:solidFill>
            </a:rPr>
            <a:t>]</a:t>
          </a:r>
        </a:p>
        <a:p>
          <a:r>
            <a:rPr lang="fr-FR" sz="800">
              <a:solidFill>
                <a:schemeClr val="dk1">
                  <a:alpha val="99000"/>
                </a:schemeClr>
              </a:solidFill>
            </a:rPr>
            <a:t> Le fichier est dans sa première version. Nous sommes à l’écoute de toute proposition de modification : N’hésitez pas à transmettre un email à contact@elanrural.fr pour toute suggestion de modification ou signalement d’un bug.</a:t>
          </a:r>
        </a:p>
        <a:p>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238128</xdr:colOff>
      <xdr:row>1</xdr:row>
      <xdr:rowOff>119062</xdr:rowOff>
    </xdr:from>
    <xdr:to>
      <xdr:col>16</xdr:col>
      <xdr:colOff>631032</xdr:colOff>
      <xdr:row>8</xdr:row>
      <xdr:rowOff>92868</xdr:rowOff>
    </xdr:to>
    <xdr:pic>
      <xdr:nvPicPr>
        <xdr:cNvPr id="2" name="Image 1">
          <a:extLst>
            <a:ext uri="{FF2B5EF4-FFF2-40B4-BE49-F238E27FC236}">
              <a16:creationId xmlns:a16="http://schemas.microsoft.com/office/drawing/2014/main" id="{CA805157-7BDC-4776-A58C-F9A0B3A38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44566" y="381000"/>
          <a:ext cx="1250154" cy="1244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749300</xdr:colOff>
      <xdr:row>3</xdr:row>
      <xdr:rowOff>61913</xdr:rowOff>
    </xdr:from>
    <xdr:to>
      <xdr:col>13</xdr:col>
      <xdr:colOff>450848</xdr:colOff>
      <xdr:row>9</xdr:row>
      <xdr:rowOff>66674</xdr:rowOff>
    </xdr:to>
    <xdr:pic>
      <xdr:nvPicPr>
        <xdr:cNvPr id="2" name="Image 1">
          <a:extLst>
            <a:ext uri="{FF2B5EF4-FFF2-40B4-BE49-F238E27FC236}">
              <a16:creationId xmlns:a16="http://schemas.microsoft.com/office/drawing/2014/main" id="{98C10488-AFB7-491C-92F4-D898A555E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6738" y="871538"/>
          <a:ext cx="1260473" cy="1239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690564</xdr:colOff>
      <xdr:row>2</xdr:row>
      <xdr:rowOff>47624</xdr:rowOff>
    </xdr:from>
    <xdr:to>
      <xdr:col>11</xdr:col>
      <xdr:colOff>402430</xdr:colOff>
      <xdr:row>8</xdr:row>
      <xdr:rowOff>74611</xdr:rowOff>
    </xdr:to>
    <xdr:pic>
      <xdr:nvPicPr>
        <xdr:cNvPr id="2" name="Image 1">
          <a:extLst>
            <a:ext uri="{FF2B5EF4-FFF2-40B4-BE49-F238E27FC236}">
              <a16:creationId xmlns:a16="http://schemas.microsoft.com/office/drawing/2014/main" id="{EF26A677-F4D6-4D53-9ADD-C9E2DE16F4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3189" y="500062"/>
          <a:ext cx="1259679" cy="123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1103324</xdr:colOff>
      <xdr:row>4</xdr:row>
      <xdr:rowOff>134470</xdr:rowOff>
    </xdr:to>
    <xdr:pic>
      <xdr:nvPicPr>
        <xdr:cNvPr id="2" name="Image 1">
          <a:extLst>
            <a:ext uri="{FF2B5EF4-FFF2-40B4-BE49-F238E27FC236}">
              <a16:creationId xmlns:a16="http://schemas.microsoft.com/office/drawing/2014/main" id="{A595CAE3-D888-4668-B5BD-E8BB9FCA5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3324" cy="1060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EC65-FE7D-40A5-9F79-E7AEF29D0377}">
  <sheetPr codeName="Feuil1">
    <pageSetUpPr fitToPage="1"/>
  </sheetPr>
  <dimension ref="A1:F64"/>
  <sheetViews>
    <sheetView tabSelected="1" zoomScale="90" zoomScaleNormal="90" workbookViewId="0">
      <selection activeCell="C7" sqref="C7:D7"/>
    </sheetView>
  </sheetViews>
  <sheetFormatPr baseColWidth="10" defaultColWidth="11.54296875" defaultRowHeight="16" x14ac:dyDescent="0.45"/>
  <cols>
    <col min="1" max="1" width="4.26953125" style="30" customWidth="1"/>
    <col min="2" max="2" width="51.453125" style="30" customWidth="1"/>
    <col min="3" max="3" width="6.453125" style="30" customWidth="1"/>
    <col min="4" max="4" width="40.1796875" style="30" customWidth="1"/>
    <col min="5" max="5" width="0.54296875" style="30" customWidth="1"/>
    <col min="6" max="6" width="36.7265625" style="30" customWidth="1"/>
    <col min="7" max="7" width="11.54296875" style="30"/>
    <col min="8" max="8" width="11.453125" style="30" customWidth="1"/>
    <col min="9" max="16384" width="11.54296875" style="30"/>
  </cols>
  <sheetData>
    <row r="1" spans="2:6" ht="17.25" customHeight="1" x14ac:dyDescent="0.45">
      <c r="B1" s="436" t="s">
        <v>99</v>
      </c>
      <c r="C1" s="436"/>
      <c r="D1" s="436"/>
    </row>
    <row r="2" spans="2:6" ht="15" customHeight="1" x14ac:dyDescent="0.45">
      <c r="B2" s="389"/>
      <c r="C2" s="389"/>
      <c r="D2" s="389"/>
    </row>
    <row r="3" spans="2:6" ht="15" customHeight="1" x14ac:dyDescent="0.45">
      <c r="B3" s="389"/>
      <c r="C3" s="389"/>
      <c r="D3" s="389"/>
    </row>
    <row r="4" spans="2:6" ht="15" customHeight="1" x14ac:dyDescent="0.45">
      <c r="B4" s="389"/>
      <c r="C4" s="389"/>
      <c r="D4" s="389"/>
      <c r="F4" s="104"/>
    </row>
    <row r="5" spans="2:6" ht="28" customHeight="1" thickBot="1" x14ac:dyDescent="0.5">
      <c r="B5" s="390"/>
      <c r="C5" s="390"/>
      <c r="D5" s="390"/>
      <c r="F5" s="104"/>
    </row>
    <row r="6" spans="2:6" ht="17" x14ac:dyDescent="0.5">
      <c r="B6" s="437" t="s">
        <v>0</v>
      </c>
      <c r="C6" s="438"/>
      <c r="D6" s="439"/>
    </row>
    <row r="7" spans="2:6" x14ac:dyDescent="0.45">
      <c r="B7" s="350" t="s">
        <v>1</v>
      </c>
      <c r="C7" s="434"/>
      <c r="D7" s="435"/>
    </row>
    <row r="8" spans="2:6" ht="16.5" x14ac:dyDescent="0.45">
      <c r="B8" s="350" t="s">
        <v>2</v>
      </c>
      <c r="C8" s="453"/>
      <c r="D8" s="454"/>
      <c r="E8" s="33"/>
      <c r="F8" s="34" t="str">
        <f>"&gt;La rétrospective concernera les années " &amp; C8 &amp; " à " &amp; (C8 + 3) &amp;" la prospective de " &amp; (C8+4) &amp; " à " &amp; (C8+9)</f>
        <v>&gt;La rétrospective concernera les années  à 3 la prospective de 4 à 9</v>
      </c>
    </row>
    <row r="9" spans="2:6" ht="16.5" x14ac:dyDescent="0.45">
      <c r="B9" s="350" t="s">
        <v>96</v>
      </c>
      <c r="C9" s="434"/>
      <c r="D9" s="435"/>
      <c r="E9" s="33"/>
      <c r="F9" s="34" t="s">
        <v>97</v>
      </c>
    </row>
    <row r="10" spans="2:6" ht="16.5" x14ac:dyDescent="0.45">
      <c r="B10" s="351" t="s">
        <v>3</v>
      </c>
      <c r="C10" s="459" t="s">
        <v>4</v>
      </c>
      <c r="D10" s="460"/>
      <c r="E10" s="33"/>
      <c r="F10" s="34" t="s">
        <v>108</v>
      </c>
    </row>
    <row r="11" spans="2:6" x14ac:dyDescent="0.45">
      <c r="B11" s="350" t="s">
        <v>5</v>
      </c>
      <c r="C11" s="455"/>
      <c r="D11" s="456"/>
      <c r="E11" s="35"/>
      <c r="F11" s="34" t="s">
        <v>120</v>
      </c>
    </row>
    <row r="12" spans="2:6" x14ac:dyDescent="0.45">
      <c r="B12" s="351" t="s">
        <v>98</v>
      </c>
      <c r="C12" s="445"/>
      <c r="D12" s="446"/>
      <c r="E12" s="35"/>
      <c r="F12" s="156" t="s">
        <v>6</v>
      </c>
    </row>
    <row r="13" spans="2:6" x14ac:dyDescent="0.45">
      <c r="B13" s="352" t="str">
        <f>"Taux de FCTVA applicable au 01/01/" &amp; (C8+4)</f>
        <v>Taux de FCTVA applicable au 01/01/4</v>
      </c>
      <c r="C13" s="461">
        <v>0.16403999999999999</v>
      </c>
      <c r="D13" s="462"/>
      <c r="E13" s="35"/>
      <c r="F13" s="156" t="s">
        <v>6</v>
      </c>
    </row>
    <row r="14" spans="2:6" ht="16.5" thickBot="1" x14ac:dyDescent="0.5">
      <c r="B14" s="353" t="str">
        <f>"Encours de dette au 31/12/" &amp;C8 &amp;" "&amp;C10</f>
        <v>Encours de dette au 31/12/ en milliers d'euros</v>
      </c>
      <c r="C14" s="457"/>
      <c r="D14" s="458"/>
    </row>
    <row r="15" spans="2:6" ht="16.5" thickBot="1" x14ac:dyDescent="0.5"/>
    <row r="16" spans="2:6" ht="20.5" customHeight="1" x14ac:dyDescent="0.5">
      <c r="B16" s="447" t="s">
        <v>7</v>
      </c>
      <c r="C16" s="448"/>
      <c r="D16" s="449"/>
    </row>
    <row r="17" spans="1:6" ht="23.5" customHeight="1" x14ac:dyDescent="0.45">
      <c r="B17" s="450" t="s">
        <v>8</v>
      </c>
      <c r="C17" s="451"/>
      <c r="D17" s="452"/>
    </row>
    <row r="18" spans="1:6" x14ac:dyDescent="0.45">
      <c r="B18" s="223" t="s">
        <v>118</v>
      </c>
      <c r="C18" s="179"/>
      <c r="D18" s="224" t="s">
        <v>119</v>
      </c>
    </row>
    <row r="19" spans="1:6" x14ac:dyDescent="0.45">
      <c r="A19" s="176"/>
      <c r="B19" s="304" t="s">
        <v>9</v>
      </c>
      <c r="C19" s="179"/>
      <c r="D19" s="106"/>
      <c r="F19" s="602" t="s">
        <v>136</v>
      </c>
    </row>
    <row r="20" spans="1:6" x14ac:dyDescent="0.45">
      <c r="A20" s="177"/>
      <c r="B20" s="304" t="s">
        <v>10</v>
      </c>
      <c r="C20" s="179"/>
      <c r="D20" s="106"/>
    </row>
    <row r="21" spans="1:6" x14ac:dyDescent="0.45">
      <c r="A21" s="177"/>
      <c r="B21" s="173"/>
      <c r="C21" s="179"/>
      <c r="D21" s="106"/>
    </row>
    <row r="22" spans="1:6" x14ac:dyDescent="0.45">
      <c r="A22" s="177"/>
      <c r="B22" s="173"/>
      <c r="C22" s="179"/>
      <c r="D22" s="106"/>
    </row>
    <row r="23" spans="1:6" x14ac:dyDescent="0.45">
      <c r="A23" s="177"/>
      <c r="B23" s="173"/>
      <c r="C23" s="179"/>
      <c r="D23" s="106"/>
    </row>
    <row r="24" spans="1:6" x14ac:dyDescent="0.45">
      <c r="A24" s="177"/>
      <c r="B24" s="173"/>
      <c r="C24" s="179"/>
      <c r="D24" s="106"/>
    </row>
    <row r="25" spans="1:6" x14ac:dyDescent="0.45">
      <c r="A25" s="177"/>
      <c r="B25" s="173"/>
      <c r="C25" s="179"/>
      <c r="D25" s="106"/>
    </row>
    <row r="26" spans="1:6" x14ac:dyDescent="0.45">
      <c r="A26" s="178"/>
      <c r="B26" s="308"/>
      <c r="C26" s="179"/>
      <c r="D26" s="106"/>
    </row>
    <row r="27" spans="1:6" x14ac:dyDescent="0.45">
      <c r="A27" s="178"/>
      <c r="B27" s="173"/>
      <c r="C27" s="179"/>
      <c r="D27" s="174"/>
    </row>
    <row r="28" spans="1:6" x14ac:dyDescent="0.45">
      <c r="A28" s="178"/>
      <c r="B28" s="173"/>
      <c r="C28" s="179"/>
      <c r="D28" s="174"/>
    </row>
    <row r="29" spans="1:6" x14ac:dyDescent="0.45">
      <c r="A29" s="178"/>
      <c r="B29" s="173"/>
      <c r="C29" s="179"/>
      <c r="D29" s="174"/>
    </row>
    <row r="30" spans="1:6" x14ac:dyDescent="0.45">
      <c r="A30" s="178"/>
      <c r="B30" s="173"/>
      <c r="C30" s="179"/>
      <c r="D30" s="174"/>
    </row>
    <row r="31" spans="1:6" x14ac:dyDescent="0.45">
      <c r="A31" s="178"/>
      <c r="B31" s="173"/>
      <c r="C31" s="179"/>
      <c r="D31" s="174"/>
    </row>
    <row r="32" spans="1:6" x14ac:dyDescent="0.45">
      <c r="A32" s="178"/>
      <c r="B32" s="173"/>
      <c r="C32" s="179"/>
      <c r="D32" s="174"/>
    </row>
    <row r="33" spans="1:6" ht="16.5" thickBot="1" x14ac:dyDescent="0.5">
      <c r="A33" s="172"/>
      <c r="B33" s="306" t="s">
        <v>11</v>
      </c>
      <c r="C33" s="38"/>
      <c r="D33" s="305" t="s">
        <v>12</v>
      </c>
    </row>
    <row r="34" spans="1:6" ht="24" customHeight="1" x14ac:dyDescent="0.45">
      <c r="B34" s="450" t="s">
        <v>13</v>
      </c>
      <c r="C34" s="451"/>
      <c r="D34" s="452"/>
    </row>
    <row r="35" spans="1:6" x14ac:dyDescent="0.45">
      <c r="B35" s="225" t="s">
        <v>118</v>
      </c>
      <c r="C35" s="37"/>
      <c r="D35" s="224" t="s">
        <v>119</v>
      </c>
    </row>
    <row r="36" spans="1:6" ht="17.5" customHeight="1" x14ac:dyDescent="0.45">
      <c r="B36" s="304" t="s">
        <v>14</v>
      </c>
      <c r="C36" s="37"/>
      <c r="D36" s="307" t="s">
        <v>15</v>
      </c>
    </row>
    <row r="37" spans="1:6" ht="17.5" customHeight="1" x14ac:dyDescent="0.45">
      <c r="B37" s="105"/>
      <c r="C37" s="37"/>
      <c r="D37" s="307" t="s">
        <v>16</v>
      </c>
    </row>
    <row r="38" spans="1:6" ht="17.5" customHeight="1" x14ac:dyDescent="0.45">
      <c r="B38" s="105"/>
      <c r="C38" s="37"/>
      <c r="D38" s="106"/>
    </row>
    <row r="39" spans="1:6" ht="17.5" customHeight="1" x14ac:dyDescent="0.45">
      <c r="B39" s="105"/>
      <c r="C39" s="37"/>
      <c r="D39" s="106"/>
    </row>
    <row r="40" spans="1:6" ht="18" customHeight="1" x14ac:dyDescent="0.45">
      <c r="B40" s="105"/>
      <c r="C40" s="37"/>
      <c r="D40" s="106"/>
    </row>
    <row r="41" spans="1:6" ht="18" customHeight="1" x14ac:dyDescent="0.45">
      <c r="B41" s="129"/>
      <c r="C41" s="37"/>
      <c r="D41" s="130"/>
    </row>
    <row r="42" spans="1:6" ht="18" customHeight="1" x14ac:dyDescent="0.45">
      <c r="B42" s="129"/>
      <c r="C42" s="37"/>
      <c r="D42" s="130"/>
    </row>
    <row r="43" spans="1:6" ht="18" customHeight="1" x14ac:dyDescent="0.45">
      <c r="B43" s="129"/>
      <c r="C43" s="37"/>
      <c r="D43" s="130"/>
    </row>
    <row r="44" spans="1:6" ht="17.5" customHeight="1" x14ac:dyDescent="0.45">
      <c r="B44" s="129"/>
      <c r="C44" s="37"/>
      <c r="D44" s="130"/>
    </row>
    <row r="45" spans="1:6" ht="16.5" thickBot="1" x14ac:dyDescent="0.5">
      <c r="B45" s="306" t="s">
        <v>17</v>
      </c>
      <c r="C45" s="38"/>
      <c r="D45" s="305" t="s">
        <v>18</v>
      </c>
    </row>
    <row r="46" spans="1:6" s="90" customFormat="1" ht="16.5" thickBot="1" x14ac:dyDescent="0.5"/>
    <row r="47" spans="1:6" s="90" customFormat="1" ht="17" x14ac:dyDescent="0.5">
      <c r="B47" s="437" t="s">
        <v>19</v>
      </c>
      <c r="C47" s="438"/>
      <c r="D47" s="439"/>
    </row>
    <row r="48" spans="1:6" s="90" customFormat="1" ht="16.5" x14ac:dyDescent="0.45">
      <c r="B48" s="32" t="s">
        <v>20</v>
      </c>
      <c r="C48" s="440"/>
      <c r="D48" s="441"/>
      <c r="F48" s="444" t="str">
        <f>"L'analyse des dépenses, recettes et indicateurs de fonctionnnement sera donc comparée sur la période " &amp;C48 &amp;"/" &amp;C49</f>
        <v>L'analyse des dépenses, recettes et indicateurs de fonctionnnement sera donc comparée sur la période /</v>
      </c>
    </row>
    <row r="49" spans="2:6" s="90" customFormat="1" ht="17" thickBot="1" x14ac:dyDescent="0.5">
      <c r="B49" s="36" t="s">
        <v>21</v>
      </c>
      <c r="C49" s="442"/>
      <c r="D49" s="443"/>
      <c r="F49" s="444"/>
    </row>
    <row r="50" spans="2:6" s="90" customFormat="1" x14ac:dyDescent="0.45">
      <c r="C50" s="31"/>
      <c r="D50" s="31"/>
    </row>
    <row r="51" spans="2:6" s="90" customFormat="1" hidden="1" x14ac:dyDescent="0.45">
      <c r="B51" s="90" t="s">
        <v>22</v>
      </c>
      <c r="D51" s="30" t="str">
        <f>+B19</f>
        <v>Charges de personnel</v>
      </c>
    </row>
    <row r="52" spans="2:6" s="90" customFormat="1" hidden="1" x14ac:dyDescent="0.45">
      <c r="B52" s="90" t="s">
        <v>4</v>
      </c>
      <c r="D52" s="175">
        <f t="shared" ref="D52:D59" si="0">B21</f>
        <v>0</v>
      </c>
    </row>
    <row r="53" spans="2:6" s="90" customFormat="1" hidden="1" x14ac:dyDescent="0.45">
      <c r="B53" s="90" t="s">
        <v>23</v>
      </c>
      <c r="D53" s="175">
        <f t="shared" si="0"/>
        <v>0</v>
      </c>
    </row>
    <row r="54" spans="2:6" s="90" customFormat="1" hidden="1" x14ac:dyDescent="0.45">
      <c r="B54" s="90">
        <f>C8</f>
        <v>0</v>
      </c>
      <c r="D54" s="175">
        <f t="shared" si="0"/>
        <v>0</v>
      </c>
    </row>
    <row r="55" spans="2:6" hidden="1" x14ac:dyDescent="0.45">
      <c r="B55" s="30">
        <f>B54+1</f>
        <v>1</v>
      </c>
      <c r="D55" s="175">
        <f t="shared" si="0"/>
        <v>0</v>
      </c>
    </row>
    <row r="56" spans="2:6" hidden="1" x14ac:dyDescent="0.45">
      <c r="B56" s="30">
        <f t="shared" ref="B56:B62" si="1">B55+1</f>
        <v>2</v>
      </c>
      <c r="D56" s="175">
        <f t="shared" si="0"/>
        <v>0</v>
      </c>
    </row>
    <row r="57" spans="2:6" hidden="1" x14ac:dyDescent="0.45">
      <c r="B57" s="30">
        <f t="shared" si="1"/>
        <v>3</v>
      </c>
      <c r="D57" s="175">
        <f t="shared" si="0"/>
        <v>0</v>
      </c>
    </row>
    <row r="58" spans="2:6" hidden="1" x14ac:dyDescent="0.45">
      <c r="B58" s="30">
        <f t="shared" si="1"/>
        <v>4</v>
      </c>
      <c r="D58" s="175">
        <f t="shared" si="0"/>
        <v>0</v>
      </c>
    </row>
    <row r="59" spans="2:6" hidden="1" x14ac:dyDescent="0.45">
      <c r="B59" s="30">
        <f t="shared" si="1"/>
        <v>5</v>
      </c>
      <c r="D59" s="175">
        <f t="shared" si="0"/>
        <v>0</v>
      </c>
    </row>
    <row r="60" spans="2:6" hidden="1" x14ac:dyDescent="0.45">
      <c r="B60" s="30">
        <f t="shared" si="1"/>
        <v>6</v>
      </c>
      <c r="D60" s="175">
        <f t="shared" ref="D60:D64" si="2">B29</f>
        <v>0</v>
      </c>
    </row>
    <row r="61" spans="2:6" hidden="1" x14ac:dyDescent="0.45">
      <c r="B61" s="30">
        <f>B60+1</f>
        <v>7</v>
      </c>
      <c r="D61" s="175">
        <f t="shared" si="2"/>
        <v>0</v>
      </c>
    </row>
    <row r="62" spans="2:6" hidden="1" x14ac:dyDescent="0.45">
      <c r="B62" s="30">
        <f t="shared" si="1"/>
        <v>8</v>
      </c>
      <c r="D62" s="175">
        <f t="shared" si="2"/>
        <v>0</v>
      </c>
    </row>
    <row r="63" spans="2:6" hidden="1" x14ac:dyDescent="0.45">
      <c r="D63" s="175">
        <f t="shared" si="2"/>
        <v>0</v>
      </c>
    </row>
    <row r="64" spans="2:6" hidden="1" x14ac:dyDescent="0.45">
      <c r="D64" s="175" t="str">
        <f t="shared" si="2"/>
        <v>Autres dépenses réelles de fonctionnement</v>
      </c>
    </row>
  </sheetData>
  <sheetProtection algorithmName="SHA-512" hashValue="pWRr6MI1sQ0mrTQc0Dze1pPGTkhSP+cpNW7OM0fhXFCEU5SwwvGTp7j7MAPb20xaWiiWxYubaYimKuCJL4muvg==" saltValue="WgF+yxstjh9+AoLchTYLnQ==" spinCount="100000" sheet="1" objects="1" scenarios="1"/>
  <mergeCells count="17">
    <mergeCell ref="F48:F49"/>
    <mergeCell ref="C12:D12"/>
    <mergeCell ref="B6:D6"/>
    <mergeCell ref="B16:D16"/>
    <mergeCell ref="B17:D17"/>
    <mergeCell ref="B34:D34"/>
    <mergeCell ref="C7:D7"/>
    <mergeCell ref="C8:D8"/>
    <mergeCell ref="C11:D11"/>
    <mergeCell ref="C14:D14"/>
    <mergeCell ref="C10:D10"/>
    <mergeCell ref="C13:D13"/>
    <mergeCell ref="C9:D9"/>
    <mergeCell ref="B1:D1"/>
    <mergeCell ref="B47:D47"/>
    <mergeCell ref="C48:D48"/>
    <mergeCell ref="C49:D49"/>
  </mergeCells>
  <dataValidations count="3">
    <dataValidation type="list" allowBlank="1" showInputMessage="1" showErrorMessage="1" sqref="C10:D10" xr:uid="{B211050D-C665-475C-962F-6F4B0400204A}">
      <formula1>$B$51:$B$53</formula1>
    </dataValidation>
    <dataValidation type="list" allowBlank="1" showInputMessage="1" showErrorMessage="1" sqref="C48:D48" xr:uid="{15BF90B1-2BFA-4F45-9F2B-5A57EA5BBD73}">
      <formula1>$B$54:$B$61</formula1>
    </dataValidation>
    <dataValidation type="list" errorStyle="warning" allowBlank="1" showInputMessage="1" showErrorMessage="1" errorTitle="Saisie non conforme" error="L'année sélectionnée doit être compris dans la période de la prospective." sqref="C49:D49" xr:uid="{F06B2906-3048-4091-A24C-50EC45BE3340}">
      <formula1>B58:B62</formula1>
    </dataValidation>
  </dataValidations>
  <pageMargins left="0.7" right="0.7" top="0.75" bottom="0.75" header="0.3" footer="0.3"/>
  <pageSetup paperSize="9"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306F-7C9C-4375-BE2D-2E746345135B}">
  <sheetPr codeName="Feuil2">
    <pageSetUpPr fitToPage="1"/>
  </sheetPr>
  <dimension ref="A1:S56"/>
  <sheetViews>
    <sheetView zoomScale="80" zoomScaleNormal="80" workbookViewId="0">
      <selection activeCell="C41" sqref="C41"/>
    </sheetView>
  </sheetViews>
  <sheetFormatPr baseColWidth="10" defaultColWidth="11.54296875" defaultRowHeight="16" x14ac:dyDescent="0.45"/>
  <cols>
    <col min="1" max="1" width="57.453125" style="39" customWidth="1"/>
    <col min="2" max="2" width="9.7265625" style="39" customWidth="1"/>
    <col min="3" max="6" width="11.7265625" style="39" customWidth="1"/>
    <col min="7" max="7" width="14.81640625" style="39" customWidth="1"/>
    <col min="8" max="13" width="11.7265625" style="39" customWidth="1"/>
    <col min="14" max="14" width="1.26953125" style="39" customWidth="1"/>
    <col min="15" max="15" width="11.54296875" style="39" customWidth="1"/>
    <col min="16" max="16" width="1.26953125" style="39" customWidth="1"/>
    <col min="17" max="16384" width="11.54296875" style="39"/>
  </cols>
  <sheetData>
    <row r="1" spans="1:19" ht="21.5" thickBot="1" x14ac:dyDescent="0.6">
      <c r="A1" s="468" t="s">
        <v>8</v>
      </c>
      <c r="B1" s="469"/>
      <c r="C1" s="469"/>
      <c r="D1" s="469"/>
      <c r="E1" s="469"/>
      <c r="F1" s="469"/>
      <c r="G1" s="469"/>
      <c r="H1" s="469"/>
      <c r="I1" s="469"/>
      <c r="J1" s="469"/>
      <c r="K1" s="469"/>
      <c r="L1" s="469"/>
      <c r="M1" s="469"/>
      <c r="N1" s="469"/>
      <c r="O1" s="469"/>
      <c r="P1" s="469"/>
      <c r="Q1" s="470"/>
    </row>
    <row r="2" spans="1:19" ht="16.149999999999999" customHeight="1" thickBot="1" x14ac:dyDescent="0.5">
      <c r="A2" s="467" t="str">
        <f>"Les montants ci-dessous sont exprimés " &amp; '1-Informations-paramètres '!C10</f>
        <v>Les montants ci-dessous sont exprimés en milliers d'euros</v>
      </c>
      <c r="B2" s="467"/>
      <c r="C2" s="467"/>
      <c r="D2" s="467"/>
      <c r="E2" s="467"/>
      <c r="F2" s="467"/>
      <c r="G2" s="467"/>
      <c r="H2" s="467"/>
      <c r="I2" s="467"/>
      <c r="J2" s="467"/>
      <c r="K2" s="467"/>
      <c r="L2" s="467"/>
      <c r="M2" s="467"/>
    </row>
    <row r="3" spans="1:19" ht="16.5" x14ac:dyDescent="0.45">
      <c r="A3" s="204" t="s">
        <v>103</v>
      </c>
      <c r="B3" s="489">
        <f>C9</f>
        <v>0</v>
      </c>
      <c r="C3" s="490"/>
    </row>
    <row r="4" spans="1:19" x14ac:dyDescent="0.45">
      <c r="A4" s="107" t="s">
        <v>104</v>
      </c>
      <c r="B4" s="485"/>
      <c r="C4" s="486"/>
      <c r="D4" s="391" t="s">
        <v>124</v>
      </c>
    </row>
    <row r="5" spans="1:19" ht="16.5" thickBot="1" x14ac:dyDescent="0.5">
      <c r="A5" s="108" t="s">
        <v>24</v>
      </c>
      <c r="B5" s="487"/>
      <c r="C5" s="488"/>
      <c r="D5" s="392" t="s">
        <v>123</v>
      </c>
      <c r="F5" s="40"/>
      <c r="H5" s="75"/>
      <c r="I5" s="356"/>
      <c r="J5" s="356"/>
      <c r="K5" s="356"/>
      <c r="L5" s="356"/>
      <c r="M5" s="356"/>
    </row>
    <row r="6" spans="1:19" ht="16.5" thickBot="1" x14ac:dyDescent="0.5">
      <c r="C6" s="41"/>
    </row>
    <row r="7" spans="1:19" ht="23.25" customHeight="1" thickBot="1" x14ac:dyDescent="0.5">
      <c r="A7" s="42"/>
      <c r="C7" s="479" t="s">
        <v>25</v>
      </c>
      <c r="D7" s="480"/>
      <c r="E7" s="480"/>
      <c r="F7" s="481"/>
      <c r="H7" s="482" t="s">
        <v>26</v>
      </c>
      <c r="I7" s="483"/>
      <c r="J7" s="483"/>
      <c r="K7" s="483"/>
      <c r="L7" s="483"/>
      <c r="M7" s="484"/>
      <c r="Q7" s="75"/>
    </row>
    <row r="8" spans="1:19" ht="4.9000000000000004" hidden="1" customHeight="1" thickBot="1" x14ac:dyDescent="0.5"/>
    <row r="9" spans="1:19" ht="27" customHeight="1" x14ac:dyDescent="0.45">
      <c r="A9" s="190" t="s">
        <v>27</v>
      </c>
      <c r="B9" s="191" t="s">
        <v>106</v>
      </c>
      <c r="C9" s="298">
        <f>'1-Informations-paramètres '!C8</f>
        <v>0</v>
      </c>
      <c r="D9" s="299">
        <f>C9+1</f>
        <v>1</v>
      </c>
      <c r="E9" s="299">
        <f>D9+1</f>
        <v>2</v>
      </c>
      <c r="F9" s="299">
        <f>E9+1</f>
        <v>3</v>
      </c>
      <c r="G9" s="475" t="s">
        <v>28</v>
      </c>
      <c r="H9" s="300">
        <f>F9+1</f>
        <v>4</v>
      </c>
      <c r="I9" s="299">
        <f>H9+1</f>
        <v>5</v>
      </c>
      <c r="J9" s="299">
        <f>I9+1</f>
        <v>6</v>
      </c>
      <c r="K9" s="299">
        <f>J9+1</f>
        <v>7</v>
      </c>
      <c r="L9" s="299">
        <f>K9+1</f>
        <v>8</v>
      </c>
      <c r="M9" s="301">
        <f>L9+1</f>
        <v>9</v>
      </c>
      <c r="O9" s="226" t="str">
        <f>"Evolution " &amp;C9 &amp;"/" &amp;F9</f>
        <v>Evolution 0/3</v>
      </c>
      <c r="Q9" s="226" t="str">
        <f>"Evolution " &amp;'1-Informations-paramètres '!C48 &amp;"/" &amp;'1-Informations-paramètres '!C49</f>
        <v>Evolution /</v>
      </c>
    </row>
    <row r="10" spans="1:19" ht="16.5" x14ac:dyDescent="0.45">
      <c r="A10" s="43" t="s">
        <v>29</v>
      </c>
      <c r="B10" s="44"/>
      <c r="C10" s="62"/>
      <c r="D10" s="63"/>
      <c r="E10" s="63"/>
      <c r="F10" s="63"/>
      <c r="G10" s="476"/>
      <c r="H10" s="45">
        <f t="shared" ref="H10:M10" si="0">SUM(H11:H26)</f>
        <v>0</v>
      </c>
      <c r="I10" s="46">
        <f t="shared" si="0"/>
        <v>0</v>
      </c>
      <c r="J10" s="46">
        <f t="shared" si="0"/>
        <v>0</v>
      </c>
      <c r="K10" s="46">
        <f t="shared" si="0"/>
        <v>0</v>
      </c>
      <c r="L10" s="46">
        <f t="shared" si="0"/>
        <v>0</v>
      </c>
      <c r="M10" s="47">
        <f t="shared" si="0"/>
        <v>0</v>
      </c>
      <c r="O10" s="91">
        <f>IFERROR((F10-C10)/C10,0)</f>
        <v>0</v>
      </c>
      <c r="P10" s="235"/>
      <c r="Q10" s="91">
        <f>-IFERROR((INDEX(C10:M10, MATCH('1-Informations-paramètres '!C$48, $C$9:$M$9, 0)) - INDEX(C10:M10, MATCH('1-Informations-paramètres '!C$49, $C$9:$M$9, 0))) / INDEX(C10:F10, MATCH('1-Informations-paramètres '!C$48, $C$9:$M$9, 0)), "0")</f>
        <v>0</v>
      </c>
      <c r="S10" s="41"/>
    </row>
    <row r="11" spans="1:19" x14ac:dyDescent="0.45">
      <c r="A11" s="406" t="s">
        <v>9</v>
      </c>
      <c r="B11" s="425" t="s">
        <v>30</v>
      </c>
      <c r="C11" s="64"/>
      <c r="D11" s="65"/>
      <c r="E11" s="65"/>
      <c r="F11" s="65"/>
      <c r="G11" s="361"/>
      <c r="H11" s="49">
        <f>IFERROR(F11+(VLOOKUP(G11,Scénario_Evolution,3,FALSE)*F11)+SUMIFS('3-Variations du fonctionnement'!$C$17:$C$26,'3-Variations du fonctionnement'!$B$17:$B$26,'2-Section de Fonctionnement'!A11),0)</f>
        <v>0</v>
      </c>
      <c r="I11" s="50">
        <f>IFERROR(H11+(VLOOKUP(G11,Scénario_Evolution,4,FALSE)*H11)+SUMIFS('3-Variations du fonctionnement'!$D$17:$D$26,'3-Variations du fonctionnement'!$B$17:$B$26,'2-Section de Fonctionnement'!A11),0)</f>
        <v>0</v>
      </c>
      <c r="J11" s="50">
        <f>IFERROR(I11+(VLOOKUP(G11,Scénario_Evolution,5,FALSE)*I11)+SUMIFS('3-Variations du fonctionnement'!$E$17:$E$26,'3-Variations du fonctionnement'!$B$17:$B$26,'2-Section de Fonctionnement'!A11),0)</f>
        <v>0</v>
      </c>
      <c r="K11" s="50">
        <f>IFERROR(J11+(VLOOKUP(G11,Scénario_Evolution,6,FALSE)*J11)+SUMIFS('3-Variations du fonctionnement'!$F$17:$F$26,'3-Variations du fonctionnement'!$B$17:$B$26,'2-Section de Fonctionnement'!A11),0)</f>
        <v>0</v>
      </c>
      <c r="L11" s="50">
        <f>IFERROR(K11+(VLOOKUP(G11,Scénario_Evolution,7,FALSE)*K11)+SUMIFS('3-Variations du fonctionnement'!$G$17:$G$26,'3-Variations du fonctionnement'!$B$17:$B$26,'2-Section de Fonctionnement'!A11),0)</f>
        <v>0</v>
      </c>
      <c r="M11" s="51">
        <f>IFERROR(L11+(VLOOKUP(G11,Scénario_Evolution,8,FALSE)*L11)+SUMIFS('3-Variations du fonctionnement'!$H$17:$H$26,'3-Variations du fonctionnement'!$B$17:$B$26,'2-Section de Fonctionnement'!A11),0)</f>
        <v>0</v>
      </c>
      <c r="O11" s="237">
        <f t="shared" ref="O11:O26" si="1">IFERROR((F11-C11)/C11,0)</f>
        <v>0</v>
      </c>
      <c r="P11" s="235"/>
      <c r="Q11" s="237">
        <f>-IFERROR((INDEX(C11:M11, MATCH('1-Informations-paramètres '!C$48, $C$9:$M$9, 0)) - INDEX(C11:M11, MATCH('1-Informations-paramètres '!C$49, $C$9:$M$9, 0))) / INDEX(C11:F11, MATCH('1-Informations-paramètres '!C$48, $C$9:$M$9, 0)), "0")</f>
        <v>0</v>
      </c>
      <c r="R11" s="39" t="str">
        <f>IFERROR((INDEX(C11:F11, MATCH(Q$4, $C$9:$F$9, 0)) - INDEX(C11:F11, MATCH(R$4, $C$9:$F$9, 0))) / INDEX(C11:F11, MATCH(Q$4, $C$9:$F$9, 0)) * 100, "")</f>
        <v/>
      </c>
    </row>
    <row r="12" spans="1:19" x14ac:dyDescent="0.45">
      <c r="A12" s="406" t="s">
        <v>10</v>
      </c>
      <c r="B12" s="425" t="s">
        <v>30</v>
      </c>
      <c r="C12" s="64"/>
      <c r="D12" s="65"/>
      <c r="E12" s="65"/>
      <c r="F12" s="65"/>
      <c r="G12" s="408" t="s">
        <v>117</v>
      </c>
      <c r="H12" s="49">
        <f>IFERROR('5-Recours à la dette '!F50,0)</f>
        <v>0</v>
      </c>
      <c r="I12" s="49">
        <f>IFERROR('5-Recours à la dette '!G50,0)</f>
        <v>0</v>
      </c>
      <c r="J12" s="49">
        <f>IFERROR('5-Recours à la dette '!H50,0)</f>
        <v>0</v>
      </c>
      <c r="K12" s="49">
        <f>IFERROR('5-Recours à la dette '!I50,0)</f>
        <v>0</v>
      </c>
      <c r="L12" s="49">
        <f>IFERROR('5-Recours à la dette '!J50,0)</f>
        <v>0</v>
      </c>
      <c r="M12" s="52">
        <f>IFERROR('5-Recours à la dette '!K50,0)</f>
        <v>0</v>
      </c>
      <c r="O12" s="237">
        <f t="shared" si="1"/>
        <v>0</v>
      </c>
      <c r="P12" s="235"/>
      <c r="Q12" s="237">
        <f>-IFERROR((INDEX(C12:M12, MATCH('1-Informations-paramètres '!C$48, $C$9:$M$9, 0)) - INDEX(C12:M12, MATCH('1-Informations-paramètres '!C$49, $C$9:$M$9, 0))) / INDEX(C12:F12, MATCH('1-Informations-paramètres '!C$48, $C$9:$M$9, 0)), "0")</f>
        <v>0</v>
      </c>
    </row>
    <row r="13" spans="1:19" x14ac:dyDescent="0.45">
      <c r="A13" s="123"/>
      <c r="B13" s="410"/>
      <c r="C13" s="64"/>
      <c r="D13" s="65"/>
      <c r="E13" s="65"/>
      <c r="F13" s="65"/>
      <c r="G13" s="361"/>
      <c r="H13" s="49">
        <f>IFERROR(F13+(VLOOKUP(G13,Scénario_Evolution,3,FALSE)*F13)+SUMIFS('3-Variations du fonctionnement'!$C$17:$C$26,'3-Variations du fonctionnement'!$B$17:$B$26,'2-Section de Fonctionnement'!A13),0)</f>
        <v>0</v>
      </c>
      <c r="I13" s="50">
        <f>IFERROR(H13+(VLOOKUP(G13,Scénario_Evolution,4,FALSE)*H13)+SUMIFS('3-Variations du fonctionnement'!$D$17:$D$26,'3-Variations du fonctionnement'!$B$17:$B$26,'2-Section de Fonctionnement'!A13),0)</f>
        <v>0</v>
      </c>
      <c r="J13" s="50">
        <f>IFERROR(I13+(VLOOKUP(G13,Scénario_Evolution,5,FALSE)*I13)+SUMIFS('3-Variations du fonctionnement'!$E$17:$E$26,'3-Variations du fonctionnement'!$B$17:$B$26,'2-Section de Fonctionnement'!A13),0)</f>
        <v>0</v>
      </c>
      <c r="K13" s="50">
        <f>IFERROR(J13+(VLOOKUP(G13,Scénario_Evolution,6,FALSE)*J13)+SUMIFS('3-Variations du fonctionnement'!$F$17:$F$26,'3-Variations du fonctionnement'!$B$17:$B$26,'2-Section de Fonctionnement'!A13),0)</f>
        <v>0</v>
      </c>
      <c r="L13" s="50">
        <f>IFERROR(K13+(VLOOKUP(G13,Scénario_Evolution,7,FALSE)*K13)+SUMIFS('3-Variations du fonctionnement'!$G$17:$G$26,'3-Variations du fonctionnement'!$B$17:$B$26,'2-Section de Fonctionnement'!A13),0)</f>
        <v>0</v>
      </c>
      <c r="M13" s="51">
        <f>IFERROR(L13+(VLOOKUP(G13,Scénario_Evolution,8,FALSE)*L13)+SUMIFS('3-Variations du fonctionnement'!$H$17:$H$26,'3-Variations du fonctionnement'!$B$17:$B$26,'2-Section de Fonctionnement'!A13),0)</f>
        <v>0</v>
      </c>
      <c r="O13" s="237">
        <f t="shared" si="1"/>
        <v>0</v>
      </c>
      <c r="P13" s="235"/>
      <c r="Q13" s="237">
        <f>-IFERROR((INDEX(C13:M13, MATCH('1-Informations-paramètres '!C$48, $C$9:$M$9, 0)) - INDEX(C13:M13, MATCH('1-Informations-paramètres '!C$49, $C$9:$M$9, 0))) / INDEX(C13:F13, MATCH('1-Informations-paramètres '!C$48, $C$9:$M$9, 0)), "0")</f>
        <v>0</v>
      </c>
    </row>
    <row r="14" spans="1:19" x14ac:dyDescent="0.45">
      <c r="A14" s="123"/>
      <c r="B14" s="410"/>
      <c r="C14" s="64"/>
      <c r="D14" s="65"/>
      <c r="E14" s="65"/>
      <c r="F14" s="65"/>
      <c r="G14" s="361"/>
      <c r="H14" s="49">
        <f>IFERROR(F14+(VLOOKUP(G14,Scénario_Evolution,3,FALSE)*F14)+SUMIFS('3-Variations du fonctionnement'!$C$17:$C$26,'3-Variations du fonctionnement'!$B$17:$B$26,'2-Section de Fonctionnement'!A14),0)</f>
        <v>0</v>
      </c>
      <c r="I14" s="50">
        <f>IFERROR(H14+(VLOOKUP(G14,Scénario_Evolution,4,FALSE)*H14)+SUMIFS('3-Variations du fonctionnement'!$D$17:$D$26,'3-Variations du fonctionnement'!$B$17:$B$26,'2-Section de Fonctionnement'!A14),0)</f>
        <v>0</v>
      </c>
      <c r="J14" s="50">
        <f>IFERROR(I14+(VLOOKUP(G14,Scénario_Evolution,5,FALSE)*I14)+SUMIFS('3-Variations du fonctionnement'!$E$17:$E$26,'3-Variations du fonctionnement'!$B$17:$B$26,'2-Section de Fonctionnement'!A14),0)</f>
        <v>0</v>
      </c>
      <c r="K14" s="50">
        <f>IFERROR(J14+(VLOOKUP(G14,Scénario_Evolution,6,FALSE)*J14)+SUMIFS('3-Variations du fonctionnement'!$F$17:$F$26,'3-Variations du fonctionnement'!$B$17:$B$26,'2-Section de Fonctionnement'!A14),0)</f>
        <v>0</v>
      </c>
      <c r="L14" s="50">
        <f>IFERROR(K14+(VLOOKUP(G14,Scénario_Evolution,7,FALSE)*K14)+SUMIFS('3-Variations du fonctionnement'!$G$17:$G$26,'3-Variations du fonctionnement'!$B$17:$B$26,'2-Section de Fonctionnement'!A14),0)</f>
        <v>0</v>
      </c>
      <c r="M14" s="51">
        <f>IFERROR(L14+(VLOOKUP(G14,Scénario_Evolution,8,FALSE)*L14)+SUMIFS('3-Variations du fonctionnement'!$H$17:$H$26,'3-Variations du fonctionnement'!$B$17:$B$26,'2-Section de Fonctionnement'!A14),0)</f>
        <v>0</v>
      </c>
      <c r="O14" s="237">
        <f t="shared" si="1"/>
        <v>0</v>
      </c>
      <c r="P14" s="235"/>
      <c r="Q14" s="237">
        <f>-IFERROR((INDEX(C14:M14, MATCH('1-Informations-paramètres '!C$48, $C$9:$M$9, 0)) - INDEX(C14:M14, MATCH('1-Informations-paramètres '!C$49, $C$9:$M$9, 0))) / INDEX(C14:F14, MATCH('1-Informations-paramètres '!C$48, $C$9:$M$9, 0)), "0")</f>
        <v>0</v>
      </c>
    </row>
    <row r="15" spans="1:19" x14ac:dyDescent="0.45">
      <c r="A15" s="123"/>
      <c r="B15" s="410"/>
      <c r="C15" s="64"/>
      <c r="D15" s="65"/>
      <c r="E15" s="65"/>
      <c r="F15" s="65"/>
      <c r="G15" s="361"/>
      <c r="H15" s="49">
        <f>IFERROR(F15+(VLOOKUP(G15,Scénario_Evolution,3,FALSE)*F15)+SUMIFS('3-Variations du fonctionnement'!$C$17:$C$26,'3-Variations du fonctionnement'!$B$17:$B$26,'2-Section de Fonctionnement'!A15),0)</f>
        <v>0</v>
      </c>
      <c r="I15" s="50">
        <f>IFERROR(H15+(VLOOKUP(G15,Scénario_Evolution,4,FALSE)*H15)+SUMIFS('3-Variations du fonctionnement'!$D$17:$D$26,'3-Variations du fonctionnement'!$B$17:$B$26,'2-Section de Fonctionnement'!A15),0)</f>
        <v>0</v>
      </c>
      <c r="J15" s="50">
        <f>IFERROR(I15+(VLOOKUP(G15,Scénario_Evolution,5,FALSE)*I15)+SUMIFS('3-Variations du fonctionnement'!$E$17:$E$26,'3-Variations du fonctionnement'!$B$17:$B$26,'2-Section de Fonctionnement'!A15),0)</f>
        <v>0</v>
      </c>
      <c r="K15" s="50">
        <f>IFERROR(J15+(VLOOKUP(G15,Scénario_Evolution,6,FALSE)*J15)+SUMIFS('3-Variations du fonctionnement'!$F$17:$F$26,'3-Variations du fonctionnement'!$B$17:$B$26,'2-Section de Fonctionnement'!A15),0)</f>
        <v>0</v>
      </c>
      <c r="L15" s="50">
        <f>IFERROR(K15+(VLOOKUP(G15,Scénario_Evolution,7,FALSE)*K15)+SUMIFS('3-Variations du fonctionnement'!$G$17:$G$26,'3-Variations du fonctionnement'!$B$17:$B$26,'2-Section de Fonctionnement'!A15),0)</f>
        <v>0</v>
      </c>
      <c r="M15" s="51">
        <f>IFERROR(L15+(VLOOKUP(G15,Scénario_Evolution,8,FALSE)*L15)+SUMIFS('3-Variations du fonctionnement'!$H$17:$H$26,'3-Variations du fonctionnement'!$B$17:$B$26,'2-Section de Fonctionnement'!A15),0)</f>
        <v>0</v>
      </c>
      <c r="O15" s="237">
        <f t="shared" si="1"/>
        <v>0</v>
      </c>
      <c r="P15" s="235"/>
      <c r="Q15" s="237">
        <f>-IFERROR((INDEX(C15:M15, MATCH('1-Informations-paramètres '!C$48, $C$9:$M$9, 0)) - INDEX(C15:M15, MATCH('1-Informations-paramètres '!C$49, $C$9:$M$9, 0))) / INDEX(C15:F15, MATCH('1-Informations-paramètres '!C$48, $C$9:$M$9, 0)), "0")</f>
        <v>0</v>
      </c>
    </row>
    <row r="16" spans="1:19" x14ac:dyDescent="0.45">
      <c r="A16" s="123"/>
      <c r="B16" s="410"/>
      <c r="C16" s="64"/>
      <c r="D16" s="65"/>
      <c r="E16" s="65"/>
      <c r="F16" s="65"/>
      <c r="G16" s="361"/>
      <c r="H16" s="49">
        <f>IFERROR(F16+(VLOOKUP(G16,Scénario_Evolution,3,FALSE)*F16)+SUMIFS('3-Variations du fonctionnement'!$C$17:$C$26,'3-Variations du fonctionnement'!$B$17:$B$26,'2-Section de Fonctionnement'!A16),0)</f>
        <v>0</v>
      </c>
      <c r="I16" s="50">
        <f>IFERROR(H16+(VLOOKUP(G16,Scénario_Evolution,4,FALSE)*H16)+SUMIFS('3-Variations du fonctionnement'!$D$17:$D$26,'3-Variations du fonctionnement'!$B$17:$B$26,'2-Section de Fonctionnement'!A16),0)</f>
        <v>0</v>
      </c>
      <c r="J16" s="50">
        <f>IFERROR(I16+(VLOOKUP(G16,Scénario_Evolution,5,FALSE)*I16)+SUMIFS('3-Variations du fonctionnement'!$E$17:$E$26,'3-Variations du fonctionnement'!$B$17:$B$26,'2-Section de Fonctionnement'!A16),0)</f>
        <v>0</v>
      </c>
      <c r="K16" s="50">
        <f>IFERROR(J16+(VLOOKUP(G16,Scénario_Evolution,6,FALSE)*J16)+SUMIFS('3-Variations du fonctionnement'!$F$17:$F$26,'3-Variations du fonctionnement'!$B$17:$B$26,'2-Section de Fonctionnement'!A16),0)</f>
        <v>0</v>
      </c>
      <c r="L16" s="50">
        <f>IFERROR(K16+(VLOOKUP(G16,Scénario_Evolution,7,FALSE)*K16)+SUMIFS('3-Variations du fonctionnement'!$G$17:$G$26,'3-Variations du fonctionnement'!$B$17:$B$26,'2-Section de Fonctionnement'!A16),0)</f>
        <v>0</v>
      </c>
      <c r="M16" s="51">
        <f>IFERROR(L16+(VLOOKUP(G16,Scénario_Evolution,8,FALSE)*L16)+SUMIFS('3-Variations du fonctionnement'!$H$17:$H$26,'3-Variations du fonctionnement'!$B$17:$B$26,'2-Section de Fonctionnement'!A16),0)</f>
        <v>0</v>
      </c>
      <c r="O16" s="237">
        <f t="shared" si="1"/>
        <v>0</v>
      </c>
      <c r="P16" s="235"/>
      <c r="Q16" s="237">
        <f>-IFERROR((INDEX(C16:M16, MATCH('1-Informations-paramètres '!C$48, $C$9:$M$9, 0)) - INDEX(C16:M16, MATCH('1-Informations-paramètres '!C$49, $C$9:$M$9, 0))) / INDEX(C16:F16, MATCH('1-Informations-paramètres '!C$48, $C$9:$M$9, 0)), "0")</f>
        <v>0</v>
      </c>
    </row>
    <row r="17" spans="1:17" x14ac:dyDescent="0.45">
      <c r="A17" s="123"/>
      <c r="B17" s="410"/>
      <c r="C17" s="64"/>
      <c r="D17" s="65"/>
      <c r="E17" s="65"/>
      <c r="F17" s="65"/>
      <c r="G17" s="361"/>
      <c r="H17" s="49">
        <f>IFERROR(F17+(VLOOKUP(G17,Scénario_Evolution,3,FALSE)*F17)+SUMIFS('3-Variations du fonctionnement'!$C$17:$C$26,'3-Variations du fonctionnement'!$B$17:$B$26,'2-Section de Fonctionnement'!A17),0)</f>
        <v>0</v>
      </c>
      <c r="I17" s="50">
        <f>IFERROR(H17+(VLOOKUP(G17,Scénario_Evolution,4,FALSE)*H17)+SUMIFS('3-Variations du fonctionnement'!$D$17:$D$26,'3-Variations du fonctionnement'!$B$17:$B$26,'2-Section de Fonctionnement'!A17),0)</f>
        <v>0</v>
      </c>
      <c r="J17" s="50">
        <f>IFERROR(I17+(VLOOKUP(G17,Scénario_Evolution,5,FALSE)*I17)+SUMIFS('3-Variations du fonctionnement'!$E$17:$E$26,'3-Variations du fonctionnement'!$B$17:$B$26,'2-Section de Fonctionnement'!A17),0)</f>
        <v>0</v>
      </c>
      <c r="K17" s="50">
        <f>IFERROR(J17+(VLOOKUP(G17,Scénario_Evolution,6,FALSE)*J17)+SUMIFS('3-Variations du fonctionnement'!$F$17:$F$26,'3-Variations du fonctionnement'!$B$17:$B$26,'2-Section de Fonctionnement'!A17),0)</f>
        <v>0</v>
      </c>
      <c r="L17" s="50">
        <f>IFERROR(K17+(VLOOKUP(G17,Scénario_Evolution,7,FALSE)*K17)+SUMIFS('3-Variations du fonctionnement'!$G$17:$G$26,'3-Variations du fonctionnement'!$B$17:$B$26,'2-Section de Fonctionnement'!A17),0)</f>
        <v>0</v>
      </c>
      <c r="M17" s="51">
        <f>IFERROR(L17+(VLOOKUP(G17,Scénario_Evolution,8,FALSE)*L17)+SUMIFS('3-Variations du fonctionnement'!$H$17:$H$26,'3-Variations du fonctionnement'!$B$17:$B$26,'2-Section de Fonctionnement'!A17),0)</f>
        <v>0</v>
      </c>
      <c r="O17" s="237">
        <f t="shared" si="1"/>
        <v>0</v>
      </c>
      <c r="P17" s="235"/>
      <c r="Q17" s="237">
        <f>-IFERROR((INDEX(C17:M17, MATCH('1-Informations-paramètres '!C$48, $C$9:$M$9, 0)) - INDEX(C17:M17, MATCH('1-Informations-paramètres '!C$49, $C$9:$M$9, 0))) / INDEX(C17:F17, MATCH('1-Informations-paramètres '!C$48, $C$9:$M$9, 0)), "0")</f>
        <v>0</v>
      </c>
    </row>
    <row r="18" spans="1:17" x14ac:dyDescent="0.45">
      <c r="A18" s="123"/>
      <c r="B18" s="410"/>
      <c r="C18" s="64"/>
      <c r="D18" s="65"/>
      <c r="E18" s="65"/>
      <c r="F18" s="65"/>
      <c r="G18" s="361"/>
      <c r="H18" s="49">
        <f>IFERROR(F18+(VLOOKUP(G18,Scénario_Evolution,3,FALSE)*F18)+SUMIFS('3-Variations du fonctionnement'!$C$17:$C$26,'3-Variations du fonctionnement'!$B$17:$B$26,'2-Section de Fonctionnement'!A18),0)</f>
        <v>0</v>
      </c>
      <c r="I18" s="50">
        <f>IFERROR(H18+(VLOOKUP(G18,Scénario_Evolution,4,FALSE)*H18)+SUMIFS('3-Variations du fonctionnement'!$D$17:$D$26,'3-Variations du fonctionnement'!$B$17:$B$26,'2-Section de Fonctionnement'!A18),0)</f>
        <v>0</v>
      </c>
      <c r="J18" s="50">
        <f>IFERROR(I18+(VLOOKUP(G18,Scénario_Evolution,5,FALSE)*I18)+SUMIFS('3-Variations du fonctionnement'!$E$17:$E$26,'3-Variations du fonctionnement'!$B$17:$B$26,'2-Section de Fonctionnement'!A18),0)</f>
        <v>0</v>
      </c>
      <c r="K18" s="50">
        <f>IFERROR(J18+(VLOOKUP(G18,Scénario_Evolution,6,FALSE)*J18)+SUMIFS('3-Variations du fonctionnement'!$F$17:$F$26,'3-Variations du fonctionnement'!$B$17:$B$26,'2-Section de Fonctionnement'!A18),0)</f>
        <v>0</v>
      </c>
      <c r="L18" s="50">
        <f>IFERROR(K18+(VLOOKUP(G18,Scénario_Evolution,7,FALSE)*K18)+SUMIFS('3-Variations du fonctionnement'!$G$17:$G$26,'3-Variations du fonctionnement'!$B$17:$B$26,'2-Section de Fonctionnement'!A18),0)</f>
        <v>0</v>
      </c>
      <c r="M18" s="51">
        <f>IFERROR(L18+(VLOOKUP(G18,Scénario_Evolution,8,FALSE)*L18)+SUMIFS('3-Variations du fonctionnement'!$H$17:$H$26,'3-Variations du fonctionnement'!$B$17:$B$26,'2-Section de Fonctionnement'!A18),0)</f>
        <v>0</v>
      </c>
      <c r="O18" s="237">
        <f t="shared" si="1"/>
        <v>0</v>
      </c>
      <c r="P18" s="235"/>
      <c r="Q18" s="237">
        <f>-IFERROR((INDEX(C18:M18, MATCH('1-Informations-paramètres '!C$48, $C$9:$M$9, 0)) - INDEX(C18:M18, MATCH('1-Informations-paramètres '!C$49, $C$9:$M$9, 0))) / INDEX(C18:F18, MATCH('1-Informations-paramètres '!C$48, $C$9:$M$9, 0)), "0")</f>
        <v>0</v>
      </c>
    </row>
    <row r="19" spans="1:17" x14ac:dyDescent="0.45">
      <c r="A19" s="123"/>
      <c r="B19" s="410"/>
      <c r="C19" s="64"/>
      <c r="D19" s="65"/>
      <c r="E19" s="65"/>
      <c r="F19" s="65"/>
      <c r="G19" s="361"/>
      <c r="H19" s="49">
        <f>IFERROR(F19+(VLOOKUP(G19,Scénario_Evolution,3,FALSE)*F19)+SUMIFS('3-Variations du fonctionnement'!$C$17:$C$26,'3-Variations du fonctionnement'!$B$17:$B$26,'2-Section de Fonctionnement'!A19),0)</f>
        <v>0</v>
      </c>
      <c r="I19" s="50">
        <f>IFERROR(H19+(VLOOKUP(G19,Scénario_Evolution,4,FALSE)*H19)+SUMIFS('3-Variations du fonctionnement'!$D$17:$D$26,'3-Variations du fonctionnement'!$B$17:$B$26,'2-Section de Fonctionnement'!A19),0)</f>
        <v>0</v>
      </c>
      <c r="J19" s="50">
        <f>IFERROR(I19+(VLOOKUP(G19,Scénario_Evolution,5,FALSE)*I19)+SUMIFS('3-Variations du fonctionnement'!$E$17:$E$26,'3-Variations du fonctionnement'!$B$17:$B$26,'2-Section de Fonctionnement'!A19),0)</f>
        <v>0</v>
      </c>
      <c r="K19" s="50">
        <f>IFERROR(J19+(VLOOKUP(G19,Scénario_Evolution,6,FALSE)*J19)+SUMIFS('3-Variations du fonctionnement'!$F$17:$F$26,'3-Variations du fonctionnement'!$B$17:$B$26,'2-Section de Fonctionnement'!A19),0)</f>
        <v>0</v>
      </c>
      <c r="L19" s="50">
        <f>IFERROR(K19+(VLOOKUP(G19,Scénario_Evolution,7,FALSE)*K19)+SUMIFS('3-Variations du fonctionnement'!$G$17:$G$26,'3-Variations du fonctionnement'!$B$17:$B$26,'2-Section de Fonctionnement'!A19),0)</f>
        <v>0</v>
      </c>
      <c r="M19" s="51">
        <f>IFERROR(L19+(VLOOKUP(G19,Scénario_Evolution,8,FALSE)*L19)+SUMIFS('3-Variations du fonctionnement'!$H$17:$H$26,'3-Variations du fonctionnement'!$B$17:$B$26,'2-Section de Fonctionnement'!A19),0)</f>
        <v>0</v>
      </c>
      <c r="O19" s="237">
        <f t="shared" si="1"/>
        <v>0</v>
      </c>
      <c r="P19" s="235"/>
      <c r="Q19" s="237">
        <f>-IFERROR((INDEX(C19:M19, MATCH('1-Informations-paramètres '!C$48, $C$9:$M$9, 0)) - INDEX(C19:M19, MATCH('1-Informations-paramètres '!C$49, $C$9:$M$9, 0))) / INDEX(C19:F19, MATCH('1-Informations-paramètres '!C$48, $C$9:$M$9, 0)), "0")</f>
        <v>0</v>
      </c>
    </row>
    <row r="20" spans="1:17" x14ac:dyDescent="0.45">
      <c r="A20" s="123"/>
      <c r="B20" s="410"/>
      <c r="C20" s="64"/>
      <c r="D20" s="65"/>
      <c r="E20" s="65"/>
      <c r="F20" s="65"/>
      <c r="G20" s="361"/>
      <c r="H20" s="49">
        <f>IFERROR(F20+(VLOOKUP(G20,Scénario_Evolution,3,FALSE)*F20)+SUMIFS('3-Variations du fonctionnement'!$C$17:$C$26,'3-Variations du fonctionnement'!$B$17:$B$26,'2-Section de Fonctionnement'!A20),0)</f>
        <v>0</v>
      </c>
      <c r="I20" s="50">
        <f>IFERROR(H20+(VLOOKUP(G20,Scénario_Evolution,4,FALSE)*H20)+SUMIFS('3-Variations du fonctionnement'!$D$17:$D$26,'3-Variations du fonctionnement'!$B$17:$B$26,'2-Section de Fonctionnement'!A20),0)</f>
        <v>0</v>
      </c>
      <c r="J20" s="50">
        <f>IFERROR(I20+(VLOOKUP(G20,Scénario_Evolution,5,FALSE)*I20)+SUMIFS('3-Variations du fonctionnement'!$E$17:$E$26,'3-Variations du fonctionnement'!$B$17:$B$26,'2-Section de Fonctionnement'!A20),0)</f>
        <v>0</v>
      </c>
      <c r="K20" s="50">
        <f>IFERROR(J20+(VLOOKUP(G20,Scénario_Evolution,6,FALSE)*J20)+SUMIFS('3-Variations du fonctionnement'!$F$17:$F$26,'3-Variations du fonctionnement'!$B$17:$B$26,'2-Section de Fonctionnement'!A20),0)</f>
        <v>0</v>
      </c>
      <c r="L20" s="50">
        <f>IFERROR(K20+(VLOOKUP(G20,Scénario_Evolution,7,FALSE)*K20)+SUMIFS('3-Variations du fonctionnement'!$G$17:$G$26,'3-Variations du fonctionnement'!$B$17:$B$26,'2-Section de Fonctionnement'!A20),0)</f>
        <v>0</v>
      </c>
      <c r="M20" s="51">
        <f>IFERROR(L20+(VLOOKUP(G20,Scénario_Evolution,8,FALSE)*L20)+SUMIFS('3-Variations du fonctionnement'!$H$17:$H$26,'3-Variations du fonctionnement'!$B$17:$B$26,'2-Section de Fonctionnement'!A20),0)</f>
        <v>0</v>
      </c>
      <c r="O20" s="237">
        <f t="shared" si="1"/>
        <v>0</v>
      </c>
      <c r="P20" s="235"/>
      <c r="Q20" s="237">
        <f>-IFERROR((INDEX(C20:M20, MATCH('1-Informations-paramètres '!C$48, $C$9:$M$9, 0)) - INDEX(C20:M20, MATCH('1-Informations-paramètres '!C$49, $C$9:$M$9, 0))) / INDEX(C20:F20, MATCH('1-Informations-paramètres '!C$48, $C$9:$M$9, 0)), "0")</f>
        <v>0</v>
      </c>
    </row>
    <row r="21" spans="1:17" x14ac:dyDescent="0.45">
      <c r="A21" s="123"/>
      <c r="B21" s="410"/>
      <c r="C21" s="64"/>
      <c r="D21" s="65"/>
      <c r="E21" s="65"/>
      <c r="F21" s="65"/>
      <c r="G21" s="361"/>
      <c r="H21" s="49">
        <f>IFERROR(F21+(VLOOKUP(G21,Scénario_Evolution,3,FALSE)*F21)+SUMIFS('3-Variations du fonctionnement'!$C$17:$C$26,'3-Variations du fonctionnement'!$B$17:$B$26,'2-Section de Fonctionnement'!A21),0)</f>
        <v>0</v>
      </c>
      <c r="I21" s="50">
        <f>IFERROR(H21+(VLOOKUP(G21,Scénario_Evolution,4,FALSE)*H21)+SUMIFS('3-Variations du fonctionnement'!$D$17:$D$26,'3-Variations du fonctionnement'!$B$17:$B$26,'2-Section de Fonctionnement'!A21),0)</f>
        <v>0</v>
      </c>
      <c r="J21" s="50">
        <f>IFERROR(I21+(VLOOKUP(G21,Scénario_Evolution,5,FALSE)*I21)+SUMIFS('3-Variations du fonctionnement'!$E$17:$E$26,'3-Variations du fonctionnement'!$B$17:$B$26,'2-Section de Fonctionnement'!A21),0)</f>
        <v>0</v>
      </c>
      <c r="K21" s="50">
        <f>IFERROR(J21+(VLOOKUP(G21,Scénario_Evolution,6,FALSE)*J21)+SUMIFS('3-Variations du fonctionnement'!$F$17:$F$26,'3-Variations du fonctionnement'!$B$17:$B$26,'2-Section de Fonctionnement'!A21),0)</f>
        <v>0</v>
      </c>
      <c r="L21" s="50">
        <f>IFERROR(K21+(VLOOKUP(G21,Scénario_Evolution,7,FALSE)*K21)+SUMIFS('3-Variations du fonctionnement'!$G$17:$G$26,'3-Variations du fonctionnement'!$B$17:$B$26,'2-Section de Fonctionnement'!A21),0)</f>
        <v>0</v>
      </c>
      <c r="M21" s="51">
        <f>IFERROR(L21+(VLOOKUP(G21,Scénario_Evolution,8,FALSE)*L21)+SUMIFS('3-Variations du fonctionnement'!$H$17:$H$26,'3-Variations du fonctionnement'!$B$17:$B$26,'2-Section de Fonctionnement'!A21),0)</f>
        <v>0</v>
      </c>
      <c r="O21" s="237">
        <f t="shared" si="1"/>
        <v>0</v>
      </c>
      <c r="P21" s="235"/>
      <c r="Q21" s="237">
        <f>-IFERROR((INDEX(C21:M21, MATCH('1-Informations-paramètres '!C$48, $C$9:$M$9, 0)) - INDEX(C21:M21, MATCH('1-Informations-paramètres '!C$49, $C$9:$M$9, 0))) / INDEX(C21:F21, MATCH('1-Informations-paramètres '!C$48, $C$9:$M$9, 0)), "0")</f>
        <v>0</v>
      </c>
    </row>
    <row r="22" spans="1:17" x14ac:dyDescent="0.45">
      <c r="A22" s="123"/>
      <c r="B22" s="410"/>
      <c r="C22" s="64"/>
      <c r="D22" s="65"/>
      <c r="E22" s="65"/>
      <c r="F22" s="65"/>
      <c r="G22" s="361"/>
      <c r="H22" s="49">
        <f>IFERROR(F22+(VLOOKUP(G22,Scénario_Evolution,3,FALSE)*F22)+SUMIFS('3-Variations du fonctionnement'!$C$17:$C$26,'3-Variations du fonctionnement'!$B$17:$B$26,'2-Section de Fonctionnement'!A22),0)</f>
        <v>0</v>
      </c>
      <c r="I22" s="50">
        <f>IFERROR(H22+(VLOOKUP(G22,Scénario_Evolution,4,FALSE)*H22)+SUMIFS('3-Variations du fonctionnement'!$D$17:$D$26,'3-Variations du fonctionnement'!$B$17:$B$26,'2-Section de Fonctionnement'!A22),0)</f>
        <v>0</v>
      </c>
      <c r="J22" s="50">
        <f>IFERROR(I22+(VLOOKUP(G22,Scénario_Evolution,5,FALSE)*I22)+SUMIFS('3-Variations du fonctionnement'!$E$17:$E$26,'3-Variations du fonctionnement'!$B$17:$B$26,'2-Section de Fonctionnement'!A22),0)</f>
        <v>0</v>
      </c>
      <c r="K22" s="50">
        <f>IFERROR(J22+(VLOOKUP(G22,Scénario_Evolution,6,FALSE)*J22)+SUMIFS('3-Variations du fonctionnement'!$F$17:$F$26,'3-Variations du fonctionnement'!$B$17:$B$26,'2-Section de Fonctionnement'!A22),0)</f>
        <v>0</v>
      </c>
      <c r="L22" s="50">
        <f>IFERROR(K22+(VLOOKUP(G22,Scénario_Evolution,7,FALSE)*K22)+SUMIFS('3-Variations du fonctionnement'!$G$17:$G$26,'3-Variations du fonctionnement'!$B$17:$B$26,'2-Section de Fonctionnement'!A22),0)</f>
        <v>0</v>
      </c>
      <c r="M22" s="51">
        <f>IFERROR(L22+(VLOOKUP(G22,Scénario_Evolution,8,FALSE)*L22)+SUMIFS('3-Variations du fonctionnement'!$H$17:$H$26,'3-Variations du fonctionnement'!$B$17:$B$26,'2-Section de Fonctionnement'!A22),0)</f>
        <v>0</v>
      </c>
      <c r="O22" s="237">
        <f t="shared" si="1"/>
        <v>0</v>
      </c>
      <c r="P22" s="235"/>
      <c r="Q22" s="237">
        <f>-IFERROR((INDEX(C22:M22, MATCH('1-Informations-paramètres '!C$48, $C$9:$M$9, 0)) - INDEX(C22:M22, MATCH('1-Informations-paramètres '!C$49, $C$9:$M$9, 0))) / INDEX(C22:F22, MATCH('1-Informations-paramètres '!C$48, $C$9:$M$9, 0)), "0")</f>
        <v>0</v>
      </c>
    </row>
    <row r="23" spans="1:17" x14ac:dyDescent="0.45">
      <c r="A23" s="123"/>
      <c r="B23" s="410"/>
      <c r="C23" s="64"/>
      <c r="D23" s="65"/>
      <c r="E23" s="65"/>
      <c r="F23" s="65"/>
      <c r="G23" s="361"/>
      <c r="H23" s="49">
        <f>IFERROR(F23+(VLOOKUP(G23,Scénario_Evolution,3,FALSE)*F23)+SUMIFS('3-Variations du fonctionnement'!$C$17:$C$26,'3-Variations du fonctionnement'!$B$17:$B$26,'2-Section de Fonctionnement'!A23),0)</f>
        <v>0</v>
      </c>
      <c r="I23" s="50">
        <f>IFERROR(H23+(VLOOKUP(G23,Scénario_Evolution,4,FALSE)*H23)+SUMIFS('3-Variations du fonctionnement'!$D$17:$D$26,'3-Variations du fonctionnement'!$B$17:$B$26,'2-Section de Fonctionnement'!A23),0)</f>
        <v>0</v>
      </c>
      <c r="J23" s="50">
        <f>IFERROR(I23+(VLOOKUP(G23,Scénario_Evolution,5,FALSE)*I23)+SUMIFS('3-Variations du fonctionnement'!$E$17:$E$26,'3-Variations du fonctionnement'!$B$17:$B$26,'2-Section de Fonctionnement'!A23),0)</f>
        <v>0</v>
      </c>
      <c r="K23" s="50">
        <f>IFERROR(J23+(VLOOKUP(G23,Scénario_Evolution,6,FALSE)*J23)+SUMIFS('3-Variations du fonctionnement'!$F$17:$F$26,'3-Variations du fonctionnement'!$B$17:$B$26,'2-Section de Fonctionnement'!A23),0)</f>
        <v>0</v>
      </c>
      <c r="L23" s="50">
        <f>IFERROR(K23+(VLOOKUP(G23,Scénario_Evolution,7,FALSE)*K23)+SUMIFS('3-Variations du fonctionnement'!$G$17:$G$26,'3-Variations du fonctionnement'!$B$17:$B$26,'2-Section de Fonctionnement'!A23),0)</f>
        <v>0</v>
      </c>
      <c r="M23" s="51">
        <f>IFERROR(L23+(VLOOKUP(G23,Scénario_Evolution,8,FALSE)*L23)+SUMIFS('3-Variations du fonctionnement'!$H$17:$H$26,'3-Variations du fonctionnement'!$B$17:$B$26,'2-Section de Fonctionnement'!A23),0)</f>
        <v>0</v>
      </c>
      <c r="O23" s="237">
        <f>IFERROR((F23-C23)/C23,0)</f>
        <v>0</v>
      </c>
      <c r="P23" s="235"/>
      <c r="Q23" s="237">
        <f>-IFERROR((INDEX(C23:M23, MATCH('1-Informations-paramètres '!C$48, $C$9:$M$9, 0)) - INDEX(C23:M23, MATCH('1-Informations-paramètres '!C$49, $C$9:$M$9, 0))) / INDEX(C23:F23, MATCH('1-Informations-paramètres '!C$48, $C$9:$M$9, 0)), "0")</f>
        <v>0</v>
      </c>
    </row>
    <row r="24" spans="1:17" x14ac:dyDescent="0.45">
      <c r="A24" s="123"/>
      <c r="B24" s="410"/>
      <c r="C24" s="64"/>
      <c r="D24" s="65"/>
      <c r="E24" s="65"/>
      <c r="F24" s="65"/>
      <c r="G24" s="361"/>
      <c r="H24" s="49">
        <f>IFERROR(F24+(VLOOKUP(G24,Scénario_Evolution,3,FALSE)*F24)+SUMIFS('3-Variations du fonctionnement'!$C$17:$C$26,'3-Variations du fonctionnement'!$B$17:$B$26,'2-Section de Fonctionnement'!A24),0)</f>
        <v>0</v>
      </c>
      <c r="I24" s="50">
        <f>IFERROR(H24+(VLOOKUP(G24,Scénario_Evolution,4,FALSE)*H24)+SUMIFS('3-Variations du fonctionnement'!$D$17:$D$26,'3-Variations du fonctionnement'!$B$17:$B$26,'2-Section de Fonctionnement'!A24),0)</f>
        <v>0</v>
      </c>
      <c r="J24" s="50">
        <f>IFERROR(I24+(VLOOKUP(G24,Scénario_Evolution,5,FALSE)*I24)+SUMIFS('3-Variations du fonctionnement'!$E$17:$E$26,'3-Variations du fonctionnement'!$B$17:$B$26,'2-Section de Fonctionnement'!A24),0)</f>
        <v>0</v>
      </c>
      <c r="K24" s="50">
        <f>IFERROR(J24+(VLOOKUP(G24,Scénario_Evolution,6,FALSE)*J24)+SUMIFS('3-Variations du fonctionnement'!$F$17:$F$26,'3-Variations du fonctionnement'!$B$17:$B$26,'2-Section de Fonctionnement'!A24),0)</f>
        <v>0</v>
      </c>
      <c r="L24" s="50">
        <f>IFERROR(K24+(VLOOKUP(G24,Scénario_Evolution,7,FALSE)*K24)+SUMIFS('3-Variations du fonctionnement'!$G$17:$G$26,'3-Variations du fonctionnement'!$B$17:$B$26,'2-Section de Fonctionnement'!A24),0)</f>
        <v>0</v>
      </c>
      <c r="M24" s="51">
        <f>IFERROR(L24+(VLOOKUP(G24,Scénario_Evolution,8,FALSE)*L24)+SUMIFS('3-Variations du fonctionnement'!$H$17:$H$26,'3-Variations du fonctionnement'!$B$17:$B$26,'2-Section de Fonctionnement'!A24),0)</f>
        <v>0</v>
      </c>
      <c r="O24" s="237">
        <f>IFERROR((F24-C24)/C24,0)</f>
        <v>0</v>
      </c>
      <c r="P24" s="235"/>
      <c r="Q24" s="237">
        <f>-IFERROR((INDEX(C24:M24, MATCH('1-Informations-paramètres '!C$48, $C$9:$M$9, 0)) - INDEX(C24:M24, MATCH('1-Informations-paramètres '!C$49, $C$9:$M$9, 0))) / INDEX(C24:F24, MATCH('1-Informations-paramètres '!C$48, $C$9:$M$9, 0)), "0")</f>
        <v>0</v>
      </c>
    </row>
    <row r="25" spans="1:17" x14ac:dyDescent="0.45">
      <c r="A25" s="123"/>
      <c r="B25" s="410"/>
      <c r="C25" s="64"/>
      <c r="D25" s="65"/>
      <c r="E25" s="65"/>
      <c r="F25" s="65"/>
      <c r="G25" s="361"/>
      <c r="H25" s="49">
        <f>IFERROR(F25+(VLOOKUP(G25,Scénario_Evolution,3,FALSE)*F25)+SUMIFS('3-Variations du fonctionnement'!$C$17:$C$26,'3-Variations du fonctionnement'!$B$17:$B$26,'2-Section de Fonctionnement'!A25),0)</f>
        <v>0</v>
      </c>
      <c r="I25" s="50">
        <f>IFERROR(H25+(VLOOKUP(G25,Scénario_Evolution,4,FALSE)*H25)+SUMIFS('3-Variations du fonctionnement'!$D$17:$D$26,'3-Variations du fonctionnement'!$B$17:$B$26,'2-Section de Fonctionnement'!A25),0)</f>
        <v>0</v>
      </c>
      <c r="J25" s="50">
        <f>IFERROR(I25+(VLOOKUP(G25,Scénario_Evolution,5,FALSE)*I25)+SUMIFS('3-Variations du fonctionnement'!$E$17:$E$26,'3-Variations du fonctionnement'!$B$17:$B$26,'2-Section de Fonctionnement'!A25),0)</f>
        <v>0</v>
      </c>
      <c r="K25" s="50">
        <f>IFERROR(J25+(VLOOKUP(G25,Scénario_Evolution,6,FALSE)*J25)+SUMIFS('3-Variations du fonctionnement'!$F$17:$F$26,'3-Variations du fonctionnement'!$B$17:$B$26,'2-Section de Fonctionnement'!A25),0)</f>
        <v>0</v>
      </c>
      <c r="L25" s="50">
        <f>IFERROR(K25+(VLOOKUP(G25,Scénario_Evolution,7,FALSE)*K25)+SUMIFS('3-Variations du fonctionnement'!$G$17:$G$26,'3-Variations du fonctionnement'!$B$17:$B$26,'2-Section de Fonctionnement'!A25),0)</f>
        <v>0</v>
      </c>
      <c r="M25" s="51">
        <f>IFERROR(L25+(VLOOKUP(G25,Scénario_Evolution,8,FALSE)*L25)+SUMIFS('3-Variations du fonctionnement'!$H$17:$H$26,'3-Variations du fonctionnement'!$B$17:$B$26,'2-Section de Fonctionnement'!A25),0)</f>
        <v>0</v>
      </c>
      <c r="O25" s="237">
        <f t="shared" si="1"/>
        <v>0</v>
      </c>
      <c r="P25" s="235"/>
      <c r="Q25" s="237">
        <f>-IFERROR((INDEX(C25:M25, MATCH('1-Informations-paramètres '!C$48, $C$9:$M$9, 0)) - INDEX(C25:M25, MATCH('1-Informations-paramètres '!C$49, $C$9:$M$9, 0))) / INDEX(C25:F25, MATCH('1-Informations-paramètres '!C$48, $C$9:$M$9, 0)), "0")</f>
        <v>0</v>
      </c>
    </row>
    <row r="26" spans="1:17" ht="16.5" thickBot="1" x14ac:dyDescent="0.5">
      <c r="A26" s="157" t="s">
        <v>11</v>
      </c>
      <c r="B26" s="411" t="s">
        <v>30</v>
      </c>
      <c r="C26" s="393">
        <f>C10-SUM(C11:C25)</f>
        <v>0</v>
      </c>
      <c r="D26" s="394">
        <f>D10-SUM(D11:D25)</f>
        <v>0</v>
      </c>
      <c r="E26" s="394">
        <f>E10-SUM(E11:E25)</f>
        <v>0</v>
      </c>
      <c r="F26" s="394">
        <f>F10-SUM(F11:F25)</f>
        <v>0</v>
      </c>
      <c r="G26" s="362"/>
      <c r="H26" s="393">
        <f>IFERROR(F26+(VLOOKUP(G26,Scénario_Evolution,3,FALSE)*F26)+SUMIFS('3-Variations du fonctionnement'!$C$17:$C$26,'3-Variations du fonctionnement'!$B$17:$B$26,'2-Section de Fonctionnement'!A26),0)</f>
        <v>0</v>
      </c>
      <c r="I26" s="394">
        <f>IFERROR(H26+(VLOOKUP(G26,Scénario_Evolution,4,FALSE)*H26)+SUMIFS('3-Variations du fonctionnement'!$D$17:$D$26,'3-Variations du fonctionnement'!$B$17:$B$26,'2-Section de Fonctionnement'!A26),0)</f>
        <v>0</v>
      </c>
      <c r="J26" s="394">
        <f>IFERROR(I26+(VLOOKUP(G26,Scénario_Evolution,5,FALSE)*I26)+SUMIFS('3-Variations du fonctionnement'!$E$17:$E$26,'3-Variations du fonctionnement'!$B$17:$B$26,'2-Section de Fonctionnement'!A26),0)</f>
        <v>0</v>
      </c>
      <c r="K26" s="394">
        <f>IFERROR(J26+(VLOOKUP(G26,Scénario_Evolution,6,FALSE)*J26)+SUMIFS('3-Variations du fonctionnement'!$F$17:$F$26,'3-Variations du fonctionnement'!$B$17:$B$26,'2-Section de Fonctionnement'!A26),0)</f>
        <v>0</v>
      </c>
      <c r="L26" s="394">
        <f>IFERROR(K26+(VLOOKUP(G26,Scénario_Evolution,7,FALSE)*K26)+SUMIFS('3-Variations du fonctionnement'!$G$17:$G$26,'3-Variations du fonctionnement'!$B$17:$B$26,'2-Section de Fonctionnement'!A26),0)</f>
        <v>0</v>
      </c>
      <c r="M26" s="395">
        <f>IFERROR(L26+(VLOOKUP(G26,Scénario_Evolution,8,FALSE)*L26)+SUMIFS('3-Variations du fonctionnement'!$H$17:$H$26,'3-Variations du fonctionnement'!$B$17:$B$26,'2-Section de Fonctionnement'!A26),0)</f>
        <v>0</v>
      </c>
      <c r="O26" s="238">
        <f t="shared" si="1"/>
        <v>0</v>
      </c>
      <c r="P26" s="235"/>
      <c r="Q26" s="238">
        <f>-IFERROR((INDEX(C26:M26, MATCH('1-Informations-paramètres '!C$48, $C$9:$M$9, 0)) - INDEX(C26:M26, MATCH('1-Informations-paramètres '!C$49, $C$9:$M$9, 0))) / INDEX(C26:F26, MATCH('1-Informations-paramètres '!C$48, $C$9:$M$9, 0)), "0")</f>
        <v>0</v>
      </c>
    </row>
    <row r="27" spans="1:17" ht="12" customHeight="1" thickBot="1" x14ac:dyDescent="0.5">
      <c r="A27" s="53"/>
      <c r="B27" s="53"/>
      <c r="C27" s="53"/>
      <c r="D27" s="53"/>
      <c r="E27" s="53"/>
      <c r="F27" s="53"/>
      <c r="G27" s="53"/>
      <c r="H27" s="53"/>
      <c r="I27" s="53"/>
      <c r="J27" s="53"/>
      <c r="K27" s="53"/>
      <c r="L27" s="53"/>
      <c r="M27" s="53"/>
      <c r="O27" s="48"/>
      <c r="Q27" s="48"/>
    </row>
    <row r="28" spans="1:17" ht="33.65" customHeight="1" x14ac:dyDescent="0.45">
      <c r="A28" s="197" t="s">
        <v>32</v>
      </c>
      <c r="B28" s="198" t="s">
        <v>106</v>
      </c>
      <c r="C28" s="297">
        <f>C9</f>
        <v>0</v>
      </c>
      <c r="D28" s="297">
        <f>C28+1</f>
        <v>1</v>
      </c>
      <c r="E28" s="297">
        <f>D28+1</f>
        <v>2</v>
      </c>
      <c r="F28" s="297">
        <f>E28+1</f>
        <v>3</v>
      </c>
      <c r="G28" s="477" t="s">
        <v>33</v>
      </c>
      <c r="H28" s="302">
        <f>F28+1</f>
        <v>4</v>
      </c>
      <c r="I28" s="297">
        <f>H28+1</f>
        <v>5</v>
      </c>
      <c r="J28" s="297">
        <f>I28+1</f>
        <v>6</v>
      </c>
      <c r="K28" s="297">
        <f>J28+1</f>
        <v>7</v>
      </c>
      <c r="L28" s="297">
        <f>K28+1</f>
        <v>8</v>
      </c>
      <c r="M28" s="303">
        <f>L28+1</f>
        <v>9</v>
      </c>
      <c r="O28" s="227" t="str">
        <f>O9</f>
        <v>Evolution 0/3</v>
      </c>
      <c r="Q28" s="227" t="str">
        <f>"Evolution " &amp;'1-Informations-paramètres '!C48 &amp;"/" &amp;'1-Informations-paramètres '!C49</f>
        <v>Evolution /</v>
      </c>
    </row>
    <row r="29" spans="1:17" ht="16.5" x14ac:dyDescent="0.45">
      <c r="A29" s="54" t="s">
        <v>34</v>
      </c>
      <c r="B29" s="55"/>
      <c r="C29" s="63"/>
      <c r="D29" s="63"/>
      <c r="E29" s="63"/>
      <c r="F29" s="63"/>
      <c r="G29" s="478"/>
      <c r="H29" s="45">
        <f t="shared" ref="H29:M29" si="2">SUM(H30:H44)</f>
        <v>0</v>
      </c>
      <c r="I29" s="46">
        <f t="shared" si="2"/>
        <v>0</v>
      </c>
      <c r="J29" s="46">
        <f t="shared" si="2"/>
        <v>0</v>
      </c>
      <c r="K29" s="46">
        <f t="shared" si="2"/>
        <v>0</v>
      </c>
      <c r="L29" s="46">
        <f t="shared" si="2"/>
        <v>0</v>
      </c>
      <c r="M29" s="47">
        <f t="shared" si="2"/>
        <v>0</v>
      </c>
      <c r="O29" s="91">
        <f t="shared" ref="O29:O44" si="3">IFERROR((F29-C29)/C29,0)</f>
        <v>0</v>
      </c>
      <c r="P29" s="235"/>
      <c r="Q29" s="91">
        <f>-IFERROR((INDEX(C29:M29, MATCH('1-Informations-paramètres '!C$48, $C$9:$M$9, 0)) - INDEX(C29:M29, MATCH('1-Informations-paramètres '!C$49, $C$9:$M$9, 0))) / INDEX(C29:F29, MATCH('1-Informations-paramètres '!C$48, $C$9:$M$9, 0)), "0")</f>
        <v>0</v>
      </c>
    </row>
    <row r="30" spans="1:17" x14ac:dyDescent="0.45">
      <c r="A30" s="360"/>
      <c r="B30" s="413"/>
      <c r="C30" s="65"/>
      <c r="D30" s="65"/>
      <c r="E30" s="65"/>
      <c r="F30" s="65"/>
      <c r="G30" s="361"/>
      <c r="H30" s="49">
        <f>IFERROR(F30+(VLOOKUP(G30,Scénario_Evolution,3,FALSE)*F30)+SUMIFS('3-Variations du fonctionnement'!$C$28:$C$37,'3-Variations du fonctionnement'!$B$28:$B$37,'2-Section de Fonctionnement'!A30),0)</f>
        <v>0</v>
      </c>
      <c r="I30" s="50">
        <f>IFERROR(H30+(VLOOKUP(G30,Scénario_Evolution,4,FALSE)*H30)+SUMIFS('3-Variations du fonctionnement'!$D$28:$D$37,'3-Variations du fonctionnement'!$B$28:$B$37,'2-Section de Fonctionnement'!A30),0)</f>
        <v>0</v>
      </c>
      <c r="J30" s="50">
        <f>IFERROR(I30+(VLOOKUP(G30,Scénario_Evolution,5,FALSE)*I30)+SUMIFS('3-Variations du fonctionnement'!$E$28:$E$37,'3-Variations du fonctionnement'!$B$28:$B$37,'2-Section de Fonctionnement'!A30),0)</f>
        <v>0</v>
      </c>
      <c r="K30" s="50">
        <f>IFERROR(J30+(VLOOKUP(G30,Scénario_Evolution,6,FALSE)*J30)+SUMIFS('3-Variations du fonctionnement'!$F$28:$F$37,'3-Variations du fonctionnement'!$B$28:$B$37,'2-Section de Fonctionnement'!A30),0)</f>
        <v>0</v>
      </c>
      <c r="L30" s="50">
        <f>IFERROR(K30+(VLOOKUP(G30,Scénario_Evolution,7,FALSE)*K30)+SUMIFS('3-Variations du fonctionnement'!$G$28:$G$37,'3-Variations du fonctionnement'!$B$28:$B$37,'2-Section de Fonctionnement'!A30),0)</f>
        <v>0</v>
      </c>
      <c r="M30" s="51">
        <f>IFERROR(L30+(VLOOKUP(G30,Scénario_Evolution,8,FALSE)*L30)+SUMIFS('3-Variations du fonctionnement'!$H$28:$H$37,'3-Variations du fonctionnement'!$B$28:$B$37,'2-Section de Fonctionnement'!A30),0)</f>
        <v>0</v>
      </c>
      <c r="O30" s="237">
        <f t="shared" si="3"/>
        <v>0</v>
      </c>
      <c r="P30" s="235"/>
      <c r="Q30" s="237">
        <f>-IFERROR((INDEX(C30:M30, MATCH('1-Informations-paramètres '!C$48, $C$9:$M$9, 0)) - INDEX(C30:M30, MATCH('1-Informations-paramètres '!C$49, $C$9:$M$9, 0))) / INDEX(C30:F30, MATCH('1-Informations-paramètres '!C$48, $C$9:$M$9, 0)), "0")</f>
        <v>0</v>
      </c>
    </row>
    <row r="31" spans="1:17" x14ac:dyDescent="0.45">
      <c r="A31" s="360"/>
      <c r="B31" s="413"/>
      <c r="C31" s="65"/>
      <c r="D31" s="65"/>
      <c r="E31" s="65"/>
      <c r="F31" s="65"/>
      <c r="G31" s="361"/>
      <c r="H31" s="49">
        <f>IFERROR(F31+(VLOOKUP(G31,Scénario_Evolution,3,FALSE)*F31)+SUMIFS('3-Variations du fonctionnement'!$C$28:$C$37,'3-Variations du fonctionnement'!$B$28:$B$37,'2-Section de Fonctionnement'!A31),0)</f>
        <v>0</v>
      </c>
      <c r="I31" s="50">
        <f>IFERROR(H31+(VLOOKUP(G31,Scénario_Evolution,4,FALSE)*H31)+SUMIFS('3-Variations du fonctionnement'!$D$28:$D$37,'3-Variations du fonctionnement'!$B$28:$B$37,'2-Section de Fonctionnement'!A31),0)</f>
        <v>0</v>
      </c>
      <c r="J31" s="50">
        <f>IFERROR(I31+(VLOOKUP(G31,Scénario_Evolution,5,FALSE)*I31)+SUMIFS('3-Variations du fonctionnement'!$E$28:$E$37,'3-Variations du fonctionnement'!$B$28:$B$37,'2-Section de Fonctionnement'!A31),0)</f>
        <v>0</v>
      </c>
      <c r="K31" s="50">
        <f>IFERROR(J31+(VLOOKUP(G31,Scénario_Evolution,6,FALSE)*J31)+SUMIFS('3-Variations du fonctionnement'!$F$28:$F$37,'3-Variations du fonctionnement'!$B$28:$B$37,'2-Section de Fonctionnement'!A31),0)</f>
        <v>0</v>
      </c>
      <c r="L31" s="50">
        <f>IFERROR(K31+(VLOOKUP(G31,Scénario_Evolution,7,FALSE)*K31)+SUMIFS('3-Variations du fonctionnement'!$G$28:$G$37,'3-Variations du fonctionnement'!$B$28:$B$37,'2-Section de Fonctionnement'!A31),0)</f>
        <v>0</v>
      </c>
      <c r="M31" s="51">
        <f>IFERROR(L31+(VLOOKUP(G31,Scénario_Evolution,8,FALSE)*L31)+SUMIFS('3-Variations du fonctionnement'!$H$28:$H$37,'3-Variations du fonctionnement'!$B$28:$B$37,'2-Section de Fonctionnement'!A31),0)</f>
        <v>0</v>
      </c>
      <c r="O31" s="237">
        <f t="shared" si="3"/>
        <v>0</v>
      </c>
      <c r="P31" s="235"/>
      <c r="Q31" s="237">
        <f>-IFERROR((INDEX(C31:M31, MATCH('1-Informations-paramètres '!C$48, $C$9:$M$9, 0)) - INDEX(C31:M31, MATCH('1-Informations-paramètres '!C$49, $C$9:$M$9, 0))) / INDEX(C31:F31, MATCH('1-Informations-paramètres '!C$48, $C$9:$M$9, 0)), "0")</f>
        <v>0</v>
      </c>
    </row>
    <row r="32" spans="1:17" x14ac:dyDescent="0.45">
      <c r="A32" s="360"/>
      <c r="B32" s="413"/>
      <c r="C32" s="65"/>
      <c r="D32" s="65"/>
      <c r="E32" s="65"/>
      <c r="F32" s="65"/>
      <c r="G32" s="361"/>
      <c r="H32" s="49">
        <f>IFERROR(F32+(VLOOKUP(G32,Scénario_Evolution,3,FALSE)*F32)+SUMIFS('3-Variations du fonctionnement'!$C$28:$C$37,'3-Variations du fonctionnement'!$B$28:$B$37,'2-Section de Fonctionnement'!A32),0)</f>
        <v>0</v>
      </c>
      <c r="I32" s="50">
        <f>IFERROR(H32+(VLOOKUP(G32,Scénario_Evolution,4,FALSE)*H32)+SUMIFS('3-Variations du fonctionnement'!$D$28:$D$37,'3-Variations du fonctionnement'!$B$28:$B$37,'2-Section de Fonctionnement'!A32),0)</f>
        <v>0</v>
      </c>
      <c r="J32" s="50">
        <f>IFERROR(I32+(VLOOKUP(G32,Scénario_Evolution,5,FALSE)*I32)+SUMIFS('3-Variations du fonctionnement'!$E$28:$E$37,'3-Variations du fonctionnement'!$B$28:$B$37,'2-Section de Fonctionnement'!A32),0)</f>
        <v>0</v>
      </c>
      <c r="K32" s="50">
        <f>IFERROR(J32+(VLOOKUP(G32,Scénario_Evolution,6,FALSE)*J32)+SUMIFS('3-Variations du fonctionnement'!$F$28:$F$37,'3-Variations du fonctionnement'!$B$28:$B$37,'2-Section de Fonctionnement'!A32),0)</f>
        <v>0</v>
      </c>
      <c r="L32" s="50">
        <f>IFERROR(K32+(VLOOKUP(G32,Scénario_Evolution,7,FALSE)*K32)+SUMIFS('3-Variations du fonctionnement'!$G$28:$G$37,'3-Variations du fonctionnement'!$B$28:$B$37,'2-Section de Fonctionnement'!A32),0)</f>
        <v>0</v>
      </c>
      <c r="M32" s="51">
        <f>IFERROR(L32+(VLOOKUP(G32,Scénario_Evolution,8,FALSE)*L32)+SUMIFS('3-Variations du fonctionnement'!$H$28:$H$37,'3-Variations du fonctionnement'!$B$28:$B$37,'2-Section de Fonctionnement'!A32),0)</f>
        <v>0</v>
      </c>
      <c r="O32" s="237">
        <f t="shared" si="3"/>
        <v>0</v>
      </c>
      <c r="P32" s="235"/>
      <c r="Q32" s="237">
        <f>-IFERROR((INDEX(C32:M32, MATCH('1-Informations-paramètres '!C$48, $C$9:$M$9, 0)) - INDEX(C32:M32, MATCH('1-Informations-paramètres '!C$49, $C$9:$M$9, 0))) / INDEX(C32:F32, MATCH('1-Informations-paramètres '!C$48, $C$9:$M$9, 0)), "0")</f>
        <v>0</v>
      </c>
    </row>
    <row r="33" spans="1:17" x14ac:dyDescent="0.45">
      <c r="A33" s="360"/>
      <c r="B33" s="413"/>
      <c r="C33" s="65"/>
      <c r="D33" s="65"/>
      <c r="E33" s="65"/>
      <c r="F33" s="65"/>
      <c r="G33" s="361"/>
      <c r="H33" s="49">
        <f>IFERROR(F33+(VLOOKUP(G33,Scénario_Evolution,3,FALSE)*F33)+SUMIFS('3-Variations du fonctionnement'!$C$28:$C$37,'3-Variations du fonctionnement'!$B$28:$B$37,'2-Section de Fonctionnement'!A33),0)</f>
        <v>0</v>
      </c>
      <c r="I33" s="50">
        <f>IFERROR(H33+(VLOOKUP(G33,Scénario_Evolution,4,FALSE)*H33)+SUMIFS('3-Variations du fonctionnement'!$D$28:$D$37,'3-Variations du fonctionnement'!$B$28:$B$37,'2-Section de Fonctionnement'!A33),0)</f>
        <v>0</v>
      </c>
      <c r="J33" s="50">
        <f>IFERROR(I33+(VLOOKUP(G33,Scénario_Evolution,5,FALSE)*I33)+SUMIFS('3-Variations du fonctionnement'!$E$28:$E$37,'3-Variations du fonctionnement'!$B$28:$B$37,'2-Section de Fonctionnement'!A33),0)</f>
        <v>0</v>
      </c>
      <c r="K33" s="50">
        <f>IFERROR(J33+(VLOOKUP(G33,Scénario_Evolution,6,FALSE)*J33)+SUMIFS('3-Variations du fonctionnement'!$F$28:$F$37,'3-Variations du fonctionnement'!$B$28:$B$37,'2-Section de Fonctionnement'!A33),0)</f>
        <v>0</v>
      </c>
      <c r="L33" s="50">
        <f>IFERROR(K33+(VLOOKUP(G33,Scénario_Evolution,7,FALSE)*K33)+SUMIFS('3-Variations du fonctionnement'!$G$28:$G$37,'3-Variations du fonctionnement'!$B$28:$B$37,'2-Section de Fonctionnement'!A33),0)</f>
        <v>0</v>
      </c>
      <c r="M33" s="51">
        <f>IFERROR(L33+(VLOOKUP(G33,Scénario_Evolution,8,FALSE)*L33)+SUMIFS('3-Variations du fonctionnement'!$H$28:$H$37,'3-Variations du fonctionnement'!$B$28:$B$37,'2-Section de Fonctionnement'!A33),0)</f>
        <v>0</v>
      </c>
      <c r="O33" s="237">
        <f t="shared" si="3"/>
        <v>0</v>
      </c>
      <c r="P33" s="235"/>
      <c r="Q33" s="237">
        <f>-IFERROR((INDEX(C33:M33, MATCH('1-Informations-paramètres '!C$48, $C$9:$M$9, 0)) - INDEX(C33:M33, MATCH('1-Informations-paramètres '!C$49, $C$9:$M$9, 0))) / INDEX(C33:F33, MATCH('1-Informations-paramètres '!C$48, $C$9:$M$9, 0)), "0")</f>
        <v>0</v>
      </c>
    </row>
    <row r="34" spans="1:17" x14ac:dyDescent="0.45">
      <c r="A34" s="360"/>
      <c r="B34" s="413"/>
      <c r="C34" s="65"/>
      <c r="D34" s="65"/>
      <c r="E34" s="65"/>
      <c r="F34" s="65"/>
      <c r="G34" s="361"/>
      <c r="H34" s="49">
        <f>IFERROR(F34+(VLOOKUP(G34,Scénario_Evolution,3,FALSE)*F34)+SUMIFS('3-Variations du fonctionnement'!$C$28:$C$37,'3-Variations du fonctionnement'!$B$28:$B$37,'2-Section de Fonctionnement'!A34),0)</f>
        <v>0</v>
      </c>
      <c r="I34" s="50">
        <f>IFERROR(H34+(VLOOKUP(G34,Scénario_Evolution,4,FALSE)*H34)+SUMIFS('3-Variations du fonctionnement'!$D$28:$D$37,'3-Variations du fonctionnement'!$B$28:$B$37,'2-Section de Fonctionnement'!A34),0)</f>
        <v>0</v>
      </c>
      <c r="J34" s="50">
        <f>IFERROR(I34+(VLOOKUP(G34,Scénario_Evolution,5,FALSE)*I34)+SUMIFS('3-Variations du fonctionnement'!$E$28:$E$37,'3-Variations du fonctionnement'!$B$28:$B$37,'2-Section de Fonctionnement'!A34),0)</f>
        <v>0</v>
      </c>
      <c r="K34" s="50">
        <f>IFERROR(J34+(VLOOKUP(G34,Scénario_Evolution,6,FALSE)*J34)+SUMIFS('3-Variations du fonctionnement'!$F$28:$F$37,'3-Variations du fonctionnement'!$B$28:$B$37,'2-Section de Fonctionnement'!A34),0)</f>
        <v>0</v>
      </c>
      <c r="L34" s="50">
        <f>IFERROR(K34+(VLOOKUP(G34,Scénario_Evolution,7,FALSE)*K34)+SUMIFS('3-Variations du fonctionnement'!$G$28:$G$37,'3-Variations du fonctionnement'!$B$28:$B$37,'2-Section de Fonctionnement'!A34),0)</f>
        <v>0</v>
      </c>
      <c r="M34" s="51">
        <f>IFERROR(L34+(VLOOKUP(G34,Scénario_Evolution,8,FALSE)*L34)+SUMIFS('3-Variations du fonctionnement'!$H$28:$H$37,'3-Variations du fonctionnement'!$B$28:$B$37,'2-Section de Fonctionnement'!A34),0)</f>
        <v>0</v>
      </c>
      <c r="O34" s="237">
        <f t="shared" si="3"/>
        <v>0</v>
      </c>
      <c r="P34" s="235"/>
      <c r="Q34" s="237">
        <f>-IFERROR((INDEX(C34:M34, MATCH('1-Informations-paramètres '!C$48, $C$9:$M$9, 0)) - INDEX(C34:M34, MATCH('1-Informations-paramètres '!C$49, $C$9:$M$9, 0))) / INDEX(C34:F34, MATCH('1-Informations-paramètres '!C$48, $C$9:$M$9, 0)), "0")</f>
        <v>0</v>
      </c>
    </row>
    <row r="35" spans="1:17" x14ac:dyDescent="0.45">
      <c r="A35" s="360"/>
      <c r="B35" s="413"/>
      <c r="C35" s="65"/>
      <c r="D35" s="65"/>
      <c r="E35" s="65"/>
      <c r="F35" s="65"/>
      <c r="G35" s="361"/>
      <c r="H35" s="49">
        <f>IFERROR(F35+(VLOOKUP(G35,Scénario_Evolution,3,FALSE)*F35)+SUMIFS('3-Variations du fonctionnement'!$C$28:$C$37,'3-Variations du fonctionnement'!$B$28:$B$37,'2-Section de Fonctionnement'!A35),0)</f>
        <v>0</v>
      </c>
      <c r="I35" s="50">
        <f>IFERROR(H35+(VLOOKUP(G35,Scénario_Evolution,4,FALSE)*H35)+SUMIFS('3-Variations du fonctionnement'!$D$28:$D$37,'3-Variations du fonctionnement'!$B$28:$B$37,'2-Section de Fonctionnement'!A35),0)</f>
        <v>0</v>
      </c>
      <c r="J35" s="50">
        <f>IFERROR(I35+(VLOOKUP(G35,Scénario_Evolution,5,FALSE)*I35)+SUMIFS('3-Variations du fonctionnement'!$E$28:$E$37,'3-Variations du fonctionnement'!$B$28:$B$37,'2-Section de Fonctionnement'!A35),0)</f>
        <v>0</v>
      </c>
      <c r="K35" s="50">
        <f>IFERROR(J35+(VLOOKUP(G35,Scénario_Evolution,6,FALSE)*J35)+SUMIFS('3-Variations du fonctionnement'!$F$28:$F$37,'3-Variations du fonctionnement'!$B$28:$B$37,'2-Section de Fonctionnement'!A35),0)</f>
        <v>0</v>
      </c>
      <c r="L35" s="50">
        <f>IFERROR(K35+(VLOOKUP(G35,Scénario_Evolution,7,FALSE)*K35)+SUMIFS('3-Variations du fonctionnement'!$G$28:$G$37,'3-Variations du fonctionnement'!$B$28:$B$37,'2-Section de Fonctionnement'!A35),0)</f>
        <v>0</v>
      </c>
      <c r="M35" s="51">
        <f>IFERROR(L35+(VLOOKUP(G35,Scénario_Evolution,8,FALSE)*L35)+SUMIFS('3-Variations du fonctionnement'!$H$28:$H$37,'3-Variations du fonctionnement'!$B$28:$B$37,'2-Section de Fonctionnement'!A35),0)</f>
        <v>0</v>
      </c>
      <c r="O35" s="237">
        <f t="shared" si="3"/>
        <v>0</v>
      </c>
      <c r="P35" s="235"/>
      <c r="Q35" s="237">
        <f>-IFERROR((INDEX(C35:M35, MATCH('1-Informations-paramètres '!C$48, $C$9:$M$9, 0)) - INDEX(C35:M35, MATCH('1-Informations-paramètres '!C$49, $C$9:$M$9, 0))) / INDEX(C35:F35, MATCH('1-Informations-paramètres '!C$48, $C$9:$M$9, 0)), "0")</f>
        <v>0</v>
      </c>
    </row>
    <row r="36" spans="1:17" x14ac:dyDescent="0.45">
      <c r="A36" s="360"/>
      <c r="B36" s="413"/>
      <c r="C36" s="132"/>
      <c r="D36" s="132"/>
      <c r="E36" s="132"/>
      <c r="F36" s="132"/>
      <c r="G36" s="361"/>
      <c r="H36" s="56">
        <f>IFERROR(F36+(VLOOKUP(G36,Scénario_Evolution,3,FALSE)*F36)+SUMIFS('3-Variations du fonctionnement'!$C$28:$C$37,'3-Variations du fonctionnement'!$B$28:$B$37,'2-Section de Fonctionnement'!A36),0)</f>
        <v>0</v>
      </c>
      <c r="I36" s="57">
        <f>IFERROR(H36+(VLOOKUP(G36,Scénario_Evolution,4,FALSE)*H36)+SUMIFS('3-Variations du fonctionnement'!$D$28:$D$37,'3-Variations du fonctionnement'!$B$28:$B$37,'2-Section de Fonctionnement'!A36),0)</f>
        <v>0</v>
      </c>
      <c r="J36" s="57">
        <f>IFERROR(I36+(VLOOKUP(G36,Scénario_Evolution,5,FALSE)*I36)+SUMIFS('3-Variations du fonctionnement'!$E$28:$E$37,'3-Variations du fonctionnement'!$B$28:$B$37,'2-Section de Fonctionnement'!A36),0)</f>
        <v>0</v>
      </c>
      <c r="K36" s="57">
        <f>IFERROR(J36+(VLOOKUP(G36,Scénario_Evolution,6,FALSE)*J36)+SUMIFS('3-Variations du fonctionnement'!$F$28:$F$37,'3-Variations du fonctionnement'!$B$28:$B$37,'2-Section de Fonctionnement'!A36),0)</f>
        <v>0</v>
      </c>
      <c r="L36" s="57">
        <f>IFERROR(K36+(VLOOKUP(G36,Scénario_Evolution,7,FALSE)*K36)+SUMIFS('3-Variations du fonctionnement'!$G$28:$G$37,'3-Variations du fonctionnement'!$B$28:$B$37,'2-Section de Fonctionnement'!A36),0)</f>
        <v>0</v>
      </c>
      <c r="M36" s="51">
        <f>IFERROR(L36+(VLOOKUP(G36,Scénario_Evolution,8,FALSE)*L36)+SUMIFS('3-Variations du fonctionnement'!$H$28:$H$37,'3-Variations du fonctionnement'!$B$28:$B$37,'2-Section de Fonctionnement'!A36),0)</f>
        <v>0</v>
      </c>
      <c r="O36" s="237">
        <f t="shared" si="3"/>
        <v>0</v>
      </c>
      <c r="P36" s="235"/>
      <c r="Q36" s="237">
        <f>-IFERROR((INDEX(C36:M36, MATCH('1-Informations-paramètres '!C$48, $C$9:$M$9, 0)) - INDEX(C36:M36, MATCH('1-Informations-paramètres '!C$49, $C$9:$M$9, 0))) / INDEX(C36:F36, MATCH('1-Informations-paramètres '!C$48, $C$9:$M$9, 0)), "0")</f>
        <v>0</v>
      </c>
    </row>
    <row r="37" spans="1:17" x14ac:dyDescent="0.45">
      <c r="A37" s="360"/>
      <c r="B37" s="413"/>
      <c r="C37" s="132"/>
      <c r="D37" s="132"/>
      <c r="E37" s="132"/>
      <c r="F37" s="132"/>
      <c r="G37" s="361"/>
      <c r="H37" s="56">
        <f>IFERROR(F37+(VLOOKUP(G37,Scénario_Evolution,3,FALSE)*F37)+SUMIFS('3-Variations du fonctionnement'!$C$28:$C$37,'3-Variations du fonctionnement'!$B$28:$B$37,'2-Section de Fonctionnement'!A37),0)</f>
        <v>0</v>
      </c>
      <c r="I37" s="57">
        <f>IFERROR(H37+(VLOOKUP(G37,Scénario_Evolution,4,FALSE)*H37)+SUMIFS('3-Variations du fonctionnement'!$D$28:$D$37,'3-Variations du fonctionnement'!$B$28:$B$37,'2-Section de Fonctionnement'!A37),0)</f>
        <v>0</v>
      </c>
      <c r="J37" s="57">
        <f>IFERROR(I37+(VLOOKUP(G37,Scénario_Evolution,5,FALSE)*I37)+SUMIFS('3-Variations du fonctionnement'!$E$28:$E$37,'3-Variations du fonctionnement'!$B$28:$B$37,'2-Section de Fonctionnement'!A37),0)</f>
        <v>0</v>
      </c>
      <c r="K37" s="57">
        <f>IFERROR(J37+(VLOOKUP(G37,Scénario_Evolution,6,FALSE)*J37)+SUMIFS('3-Variations du fonctionnement'!$F$28:$F$37,'3-Variations du fonctionnement'!$B$28:$B$37,'2-Section de Fonctionnement'!A37),0)</f>
        <v>0</v>
      </c>
      <c r="L37" s="57">
        <f>IFERROR(K37+(VLOOKUP(G37,Scénario_Evolution,7,FALSE)*K37)+SUMIFS('3-Variations du fonctionnement'!$G$28:$G$37,'3-Variations du fonctionnement'!$B$28:$B$37,'2-Section de Fonctionnement'!A37),0)</f>
        <v>0</v>
      </c>
      <c r="M37" s="51">
        <f>IFERROR(L37+(VLOOKUP(G37,Scénario_Evolution,8,FALSE)*L37)+SUMIFS('3-Variations du fonctionnement'!$H$28:$H$37,'3-Variations du fonctionnement'!$B$28:$B$37,'2-Section de Fonctionnement'!A37),0)</f>
        <v>0</v>
      </c>
      <c r="O37" s="237">
        <f t="shared" si="3"/>
        <v>0</v>
      </c>
      <c r="P37" s="235"/>
      <c r="Q37" s="237">
        <f>-IFERROR((INDEX(C37:M37, MATCH('1-Informations-paramètres '!C$48, $C$9:$M$9, 0)) - INDEX(C37:M37, MATCH('1-Informations-paramètres '!C$49, $C$9:$M$9, 0))) / INDEX(C37:F37, MATCH('1-Informations-paramètres '!C$48, $C$9:$M$9, 0)), "0")</f>
        <v>0</v>
      </c>
    </row>
    <row r="38" spans="1:17" x14ac:dyDescent="0.45">
      <c r="A38" s="360"/>
      <c r="B38" s="413"/>
      <c r="C38" s="132"/>
      <c r="D38" s="132"/>
      <c r="E38" s="132"/>
      <c r="F38" s="132"/>
      <c r="G38" s="361"/>
      <c r="H38" s="56">
        <f>IFERROR(F38+(VLOOKUP(G38,Scénario_Evolution,3,FALSE)*F38)+SUMIFS('3-Variations du fonctionnement'!$C$28:$C$37,'3-Variations du fonctionnement'!$B$28:$B$37,'2-Section de Fonctionnement'!A38),0)</f>
        <v>0</v>
      </c>
      <c r="I38" s="57">
        <f>IFERROR(H38+(VLOOKUP(G38,Scénario_Evolution,4,FALSE)*H38)+SUMIFS('3-Variations du fonctionnement'!$D$28:$D$37,'3-Variations du fonctionnement'!$B$28:$B$37,'2-Section de Fonctionnement'!A38),0)</f>
        <v>0</v>
      </c>
      <c r="J38" s="57">
        <f>IFERROR(I38+(VLOOKUP(G38,Scénario_Evolution,5,FALSE)*I38)+SUMIFS('3-Variations du fonctionnement'!$E$28:$E$37,'3-Variations du fonctionnement'!$B$28:$B$37,'2-Section de Fonctionnement'!A38),0)</f>
        <v>0</v>
      </c>
      <c r="K38" s="57">
        <f>IFERROR(J38+(VLOOKUP(G38,Scénario_Evolution,6,FALSE)*J38)+SUMIFS('3-Variations du fonctionnement'!$F$28:$F$37,'3-Variations du fonctionnement'!$B$28:$B$37,'2-Section de Fonctionnement'!A38),0)</f>
        <v>0</v>
      </c>
      <c r="L38" s="57">
        <f>IFERROR(K38+(VLOOKUP(G38,Scénario_Evolution,7,FALSE)*K38)+SUMIFS('3-Variations du fonctionnement'!$G$28:$G$37,'3-Variations du fonctionnement'!$B$28:$B$37,'2-Section de Fonctionnement'!A38),0)</f>
        <v>0</v>
      </c>
      <c r="M38" s="51">
        <f>IFERROR(L38+(VLOOKUP(G38,Scénario_Evolution,8,FALSE)*L38)+SUMIFS('3-Variations du fonctionnement'!$H$28:$H$37,'3-Variations du fonctionnement'!$B$28:$B$37,'2-Section de Fonctionnement'!A38),0)</f>
        <v>0</v>
      </c>
      <c r="O38" s="237">
        <f t="shared" si="3"/>
        <v>0</v>
      </c>
      <c r="P38" s="235"/>
      <c r="Q38" s="237">
        <f>-IFERROR((INDEX(C38:M38, MATCH('1-Informations-paramètres '!C$48, $C$9:$M$9, 0)) - INDEX(C38:M38, MATCH('1-Informations-paramètres '!C$49, $C$9:$M$9, 0))) / INDEX(C38:F38, MATCH('1-Informations-paramètres '!C$48, $C$9:$M$9, 0)), "0")</f>
        <v>0</v>
      </c>
    </row>
    <row r="39" spans="1:17" x14ac:dyDescent="0.45">
      <c r="A39" s="360"/>
      <c r="B39" s="413"/>
      <c r="C39" s="132"/>
      <c r="D39" s="132"/>
      <c r="E39" s="132"/>
      <c r="F39" s="132"/>
      <c r="G39" s="361"/>
      <c r="H39" s="56">
        <f>IFERROR(F39+(VLOOKUP(G39,Scénario_Evolution,3,FALSE)*F39)+SUMIFS('3-Variations du fonctionnement'!$C$28:$C$37,'3-Variations du fonctionnement'!$B$28:$B$37,'2-Section de Fonctionnement'!A39),0)</f>
        <v>0</v>
      </c>
      <c r="I39" s="57">
        <f>IFERROR(H39+(VLOOKUP(G39,Scénario_Evolution,4,FALSE)*H39)+SUMIFS('3-Variations du fonctionnement'!$D$28:$D$37,'3-Variations du fonctionnement'!$B$28:$B$37,'2-Section de Fonctionnement'!A39),0)</f>
        <v>0</v>
      </c>
      <c r="J39" s="57">
        <f>IFERROR(I39+(VLOOKUP(G39,Scénario_Evolution,5,FALSE)*I39)+SUMIFS('3-Variations du fonctionnement'!$E$28:$E$37,'3-Variations du fonctionnement'!$B$28:$B$37,'2-Section de Fonctionnement'!A39),0)</f>
        <v>0</v>
      </c>
      <c r="K39" s="57">
        <f>IFERROR(J39+(VLOOKUP(G39,Scénario_Evolution,6,FALSE)*J39)+SUMIFS('3-Variations du fonctionnement'!$F$28:$F$37,'3-Variations du fonctionnement'!$B$28:$B$37,'2-Section de Fonctionnement'!A39),0)</f>
        <v>0</v>
      </c>
      <c r="L39" s="57">
        <f>IFERROR(K39+(VLOOKUP(G39,Scénario_Evolution,7,FALSE)*K39)+SUMIFS('3-Variations du fonctionnement'!$G$28:$G$37,'3-Variations du fonctionnement'!$B$28:$B$37,'2-Section de Fonctionnement'!A39),0)</f>
        <v>0</v>
      </c>
      <c r="M39" s="51">
        <f>IFERROR(L39+(VLOOKUP(G39,Scénario_Evolution,8,FALSE)*L39)+SUMIFS('3-Variations du fonctionnement'!$H$28:$H$37,'3-Variations du fonctionnement'!$B$28:$B$37,'2-Section de Fonctionnement'!A39),0)</f>
        <v>0</v>
      </c>
      <c r="O39" s="237">
        <f t="shared" si="3"/>
        <v>0</v>
      </c>
      <c r="P39" s="235"/>
      <c r="Q39" s="237">
        <f>-IFERROR((INDEX(C39:M39, MATCH('1-Informations-paramètres '!C$48, $C$9:$M$9, 0)) - INDEX(C39:M39, MATCH('1-Informations-paramètres '!C$49, $C$9:$M$9, 0))) / INDEX(C39:F39, MATCH('1-Informations-paramètres '!C$48, $C$9:$M$9, 0)), "0")</f>
        <v>0</v>
      </c>
    </row>
    <row r="40" spans="1:17" x14ac:dyDescent="0.45">
      <c r="A40" s="360"/>
      <c r="B40" s="413"/>
      <c r="C40" s="132"/>
      <c r="D40" s="132"/>
      <c r="E40" s="132"/>
      <c r="F40" s="132"/>
      <c r="G40" s="361"/>
      <c r="H40" s="56">
        <f>IFERROR(F40+(VLOOKUP(G40,Scénario_Evolution,3,FALSE)*F40)+SUMIFS('3-Variations du fonctionnement'!$C$28:$C$37,'3-Variations du fonctionnement'!$B$28:$B$37,'2-Section de Fonctionnement'!A40),0)</f>
        <v>0</v>
      </c>
      <c r="I40" s="57">
        <f>IFERROR(H40+(VLOOKUP(G40,Scénario_Evolution,4,FALSE)*H40)+SUMIFS('3-Variations du fonctionnement'!$D$28:$D$37,'3-Variations du fonctionnement'!$B$28:$B$37,'2-Section de Fonctionnement'!A40),0)</f>
        <v>0</v>
      </c>
      <c r="J40" s="57">
        <f>IFERROR(I40+(VLOOKUP(G40,Scénario_Evolution,5,FALSE)*I40)+SUMIFS('3-Variations du fonctionnement'!$E$28:$E$37,'3-Variations du fonctionnement'!$B$28:$B$37,'2-Section de Fonctionnement'!A40),0)</f>
        <v>0</v>
      </c>
      <c r="K40" s="57">
        <f>IFERROR(J40+(VLOOKUP(G40,Scénario_Evolution,6,FALSE)*J40)+SUMIFS('3-Variations du fonctionnement'!$F$28:$F$37,'3-Variations du fonctionnement'!$B$28:$B$37,'2-Section de Fonctionnement'!A40),0)</f>
        <v>0</v>
      </c>
      <c r="L40" s="57">
        <f>IFERROR(K40+(VLOOKUP(G40,Scénario_Evolution,7,FALSE)*K40)+SUMIFS('3-Variations du fonctionnement'!$G$28:$G$37,'3-Variations du fonctionnement'!$B$28:$B$37,'2-Section de Fonctionnement'!A40),0)</f>
        <v>0</v>
      </c>
      <c r="M40" s="51">
        <f>IFERROR(L40+(VLOOKUP(G40,Scénario_Evolution,8,FALSE)*L40)+SUMIFS('3-Variations du fonctionnement'!$H$28:$H$37,'3-Variations du fonctionnement'!$B$28:$B$37,'2-Section de Fonctionnement'!A40),0)</f>
        <v>0</v>
      </c>
      <c r="O40" s="237">
        <f t="shared" si="3"/>
        <v>0</v>
      </c>
      <c r="P40" s="235"/>
      <c r="Q40" s="237">
        <f>-IFERROR((INDEX(C40:M40, MATCH('1-Informations-paramètres '!C$48, $C$9:$M$9, 0)) - INDEX(C40:M40, MATCH('1-Informations-paramètres '!C$49, $C$9:$M$9, 0))) / INDEX(C40:F40, MATCH('1-Informations-paramètres '!C$48, $C$9:$M$9, 0)), "0")</f>
        <v>0</v>
      </c>
    </row>
    <row r="41" spans="1:17" x14ac:dyDescent="0.45">
      <c r="A41" s="360"/>
      <c r="B41" s="413"/>
      <c r="C41" s="132"/>
      <c r="D41" s="132"/>
      <c r="E41" s="132"/>
      <c r="F41" s="132"/>
      <c r="G41" s="361"/>
      <c r="H41" s="56">
        <f>IFERROR(F41+(VLOOKUP(G41,Scénario_Evolution,3,FALSE)*F41)+SUMIFS('3-Variations du fonctionnement'!$C$28:$C$37,'3-Variations du fonctionnement'!$B$28:$B$37,'2-Section de Fonctionnement'!A41),0)</f>
        <v>0</v>
      </c>
      <c r="I41" s="57">
        <f>IFERROR(H41+(VLOOKUP(G41,Scénario_Evolution,4,FALSE)*H41)+SUMIFS('3-Variations du fonctionnement'!$D$28:$D$37,'3-Variations du fonctionnement'!$B$28:$B$37,'2-Section de Fonctionnement'!A41),0)</f>
        <v>0</v>
      </c>
      <c r="J41" s="57">
        <f>IFERROR(I41+(VLOOKUP(G41,Scénario_Evolution,5,FALSE)*I41)+SUMIFS('3-Variations du fonctionnement'!$E$28:$E$37,'3-Variations du fonctionnement'!$B$28:$B$37,'2-Section de Fonctionnement'!A41),0)</f>
        <v>0</v>
      </c>
      <c r="K41" s="57">
        <f>IFERROR(J41+(VLOOKUP(G41,Scénario_Evolution,6,FALSE)*J41)+SUMIFS('3-Variations du fonctionnement'!$F$28:$F$37,'3-Variations du fonctionnement'!$B$28:$B$37,'2-Section de Fonctionnement'!A41),0)</f>
        <v>0</v>
      </c>
      <c r="L41" s="57">
        <f>IFERROR(K41+(VLOOKUP(G41,Scénario_Evolution,7,FALSE)*K41)+SUMIFS('3-Variations du fonctionnement'!$G$28:$G$37,'3-Variations du fonctionnement'!$B$28:$B$37,'2-Section de Fonctionnement'!A41),0)</f>
        <v>0</v>
      </c>
      <c r="M41" s="51">
        <f>IFERROR(L41+(VLOOKUP(G41,Scénario_Evolution,8,FALSE)*L41)+SUMIFS('3-Variations du fonctionnement'!$H$28:$H$37,'3-Variations du fonctionnement'!$B$28:$B$37,'2-Section de Fonctionnement'!A41),0)</f>
        <v>0</v>
      </c>
      <c r="O41" s="237">
        <f t="shared" si="3"/>
        <v>0</v>
      </c>
      <c r="P41" s="235"/>
      <c r="Q41" s="237">
        <f>-IFERROR((INDEX(C41:M41, MATCH('1-Informations-paramètres '!C$48, $C$9:$M$9, 0)) - INDEX(C41:M41, MATCH('1-Informations-paramètres '!C$49, $C$9:$M$9, 0))) / INDEX(C41:F41, MATCH('1-Informations-paramètres '!C$48, $C$9:$M$9, 0)), "0")</f>
        <v>0</v>
      </c>
    </row>
    <row r="42" spans="1:17" x14ac:dyDescent="0.45">
      <c r="A42" s="360"/>
      <c r="B42" s="413"/>
      <c r="C42" s="132"/>
      <c r="D42" s="132"/>
      <c r="E42" s="132"/>
      <c r="F42" s="132"/>
      <c r="G42" s="361"/>
      <c r="H42" s="56">
        <f>IFERROR(F42+(VLOOKUP(G42,Scénario_Evolution,3,FALSE)*F42)+SUMIFS('3-Variations du fonctionnement'!$C$28:$C$37,'3-Variations du fonctionnement'!$B$28:$B$37,'2-Section de Fonctionnement'!A42),0)</f>
        <v>0</v>
      </c>
      <c r="I42" s="57">
        <f>IFERROR(H42+(VLOOKUP(G42,Scénario_Evolution,4,FALSE)*H42)+SUMIFS('3-Variations du fonctionnement'!$D$28:$D$37,'3-Variations du fonctionnement'!$B$28:$B$37,'2-Section de Fonctionnement'!A42),0)</f>
        <v>0</v>
      </c>
      <c r="J42" s="57">
        <f>IFERROR(I42+(VLOOKUP(G42,Scénario_Evolution,5,FALSE)*I42)+SUMIFS('3-Variations du fonctionnement'!$E$28:$E$37,'3-Variations du fonctionnement'!$B$28:$B$37,'2-Section de Fonctionnement'!A42),0)</f>
        <v>0</v>
      </c>
      <c r="K42" s="57">
        <f>IFERROR(J42+(VLOOKUP(G42,Scénario_Evolution,6,FALSE)*J42)+SUMIFS('3-Variations du fonctionnement'!$F$28:$F$37,'3-Variations du fonctionnement'!$B$28:$B$37,'2-Section de Fonctionnement'!A42),0)</f>
        <v>0</v>
      </c>
      <c r="L42" s="57">
        <f>IFERROR(K42+(VLOOKUP(G42,Scénario_Evolution,7,FALSE)*K42)+SUMIFS('3-Variations du fonctionnement'!$G$28:$G$37,'3-Variations du fonctionnement'!$B$28:$B$37,'2-Section de Fonctionnement'!A42),0)</f>
        <v>0</v>
      </c>
      <c r="M42" s="51">
        <f>IFERROR(L42+(VLOOKUP(G42,Scénario_Evolution,8,FALSE)*L42)+SUMIFS('3-Variations du fonctionnement'!$H$28:$H$37,'3-Variations du fonctionnement'!$B$28:$B$37,'2-Section de Fonctionnement'!A42),0)</f>
        <v>0</v>
      </c>
      <c r="O42" s="237">
        <f t="shared" si="3"/>
        <v>0</v>
      </c>
      <c r="P42" s="235"/>
      <c r="Q42" s="237">
        <f>-IFERROR((INDEX(C42:M42, MATCH('1-Informations-paramètres '!C$48, $C$9:$M$9, 0)) - INDEX(C42:M42, MATCH('1-Informations-paramètres '!C$49, $C$9:$M$9, 0))) / INDEX(C42:F42, MATCH('1-Informations-paramètres '!C$48, $C$9:$M$9, 0)), "0")</f>
        <v>0</v>
      </c>
    </row>
    <row r="43" spans="1:17" x14ac:dyDescent="0.45">
      <c r="A43" s="360"/>
      <c r="B43" s="413"/>
      <c r="C43" s="132"/>
      <c r="D43" s="132"/>
      <c r="E43" s="132"/>
      <c r="F43" s="132"/>
      <c r="G43" s="361"/>
      <c r="H43" s="56">
        <f>IFERROR(F43+(VLOOKUP(G43,Scénario_Evolution,3,FALSE)*F43)+SUMIFS('3-Variations du fonctionnement'!$C$28:$C$37,'3-Variations du fonctionnement'!$B$28:$B$37,'2-Section de Fonctionnement'!A43),0)</f>
        <v>0</v>
      </c>
      <c r="I43" s="57">
        <f>IFERROR(H43+(VLOOKUP(G43,Scénario_Evolution,4,FALSE)*H43)+SUMIFS('3-Variations du fonctionnement'!$D$28:$D$37,'3-Variations du fonctionnement'!$B$28:$B$37,'2-Section de Fonctionnement'!A43),0)</f>
        <v>0</v>
      </c>
      <c r="J43" s="57">
        <f>IFERROR(I43+(VLOOKUP(G43,Scénario_Evolution,5,FALSE)*I43)+SUMIFS('3-Variations du fonctionnement'!$E$28:$E$37,'3-Variations du fonctionnement'!$B$28:$B$37,'2-Section de Fonctionnement'!A43),0)</f>
        <v>0</v>
      </c>
      <c r="K43" s="57">
        <f>IFERROR(J43+(VLOOKUP(G43,Scénario_Evolution,6,FALSE)*J43)+SUMIFS('3-Variations du fonctionnement'!$F$28:$F$37,'3-Variations du fonctionnement'!$B$28:$B$37,'2-Section de Fonctionnement'!A43),0)</f>
        <v>0</v>
      </c>
      <c r="L43" s="57">
        <f>IFERROR(K43+(VLOOKUP(G43,Scénario_Evolution,7,FALSE)*K43)+SUMIFS('3-Variations du fonctionnement'!$G$28:$G$37,'3-Variations du fonctionnement'!$B$28:$B$37,'2-Section de Fonctionnement'!A43),0)</f>
        <v>0</v>
      </c>
      <c r="M43" s="51">
        <f>IFERROR(L43+(VLOOKUP(G43,Scénario_Evolution,8,FALSE)*L43)+SUMIFS('3-Variations du fonctionnement'!$H$28:$H$37,'3-Variations du fonctionnement'!$B$28:$B$37,'2-Section de Fonctionnement'!A43),0)</f>
        <v>0</v>
      </c>
      <c r="O43" s="237">
        <f t="shared" si="3"/>
        <v>0</v>
      </c>
      <c r="P43" s="235"/>
      <c r="Q43" s="237">
        <f>-IFERROR((INDEX(C43:M43, MATCH('1-Informations-paramètres '!C$48, $C$9:$M$9, 0)) - INDEX(C43:M43, MATCH('1-Informations-paramètres '!C$49, $C$9:$M$9, 0))) / INDEX(C43:F43, MATCH('1-Informations-paramètres '!C$48, $C$9:$M$9, 0)), "0")</f>
        <v>0</v>
      </c>
    </row>
    <row r="44" spans="1:17" ht="16.5" thickBot="1" x14ac:dyDescent="0.5">
      <c r="A44" s="157" t="s">
        <v>12</v>
      </c>
      <c r="B44" s="412"/>
      <c r="C44" s="394">
        <f>C29-SUM(C30:C43)</f>
        <v>0</v>
      </c>
      <c r="D44" s="394">
        <f>D29-SUM(D30:D43)</f>
        <v>0</v>
      </c>
      <c r="E44" s="394">
        <f>E29-SUM(E30:E43)</f>
        <v>0</v>
      </c>
      <c r="F44" s="394">
        <f>F29-SUM(F30:F43)</f>
        <v>0</v>
      </c>
      <c r="G44" s="362"/>
      <c r="H44" s="393">
        <f>IFERROR(F44+(VLOOKUP(G44,Scénario_Evolution,3,FALSE)*F44)+SUMIFS('3-Variations du fonctionnement'!$C$28:$C$37,'3-Variations du fonctionnement'!$B$28:$B$37,'2-Section de Fonctionnement'!A44),0)</f>
        <v>0</v>
      </c>
      <c r="I44" s="394">
        <f>IFERROR(H44+(VLOOKUP(G44,Scénario_Evolution,4,FALSE)*H44)+SUMIFS('3-Variations du fonctionnement'!$D$28:$D$37,'3-Variations du fonctionnement'!$B$28:$B$37,'2-Section de Fonctionnement'!A44),0)</f>
        <v>0</v>
      </c>
      <c r="J44" s="394">
        <f>IFERROR(I44+(VLOOKUP(G44,Scénario_Evolution,5,FALSE)*I44)+SUMIFS('3-Variations du fonctionnement'!$E$28:$E$37,'3-Variations du fonctionnement'!$B$28:$B$37,'2-Section de Fonctionnement'!A44),0)</f>
        <v>0</v>
      </c>
      <c r="K44" s="394">
        <f>IFERROR(J44+(VLOOKUP(G44,Scénario_Evolution,6,FALSE)*J44)+SUMIFS('3-Variations du fonctionnement'!$F$28:$F$37,'3-Variations du fonctionnement'!$B$28:$B$37,'2-Section de Fonctionnement'!A44),0)</f>
        <v>0</v>
      </c>
      <c r="L44" s="394">
        <f>IFERROR(K44+(VLOOKUP(G44,Scénario_Evolution,7,FALSE)*K44)+SUMIFS('3-Variations du fonctionnement'!$G$28:$G$37,'3-Variations du fonctionnement'!$B$28:$B$37,'2-Section de Fonctionnement'!A44),0)</f>
        <v>0</v>
      </c>
      <c r="M44" s="396">
        <f>IFERROR(L44+(VLOOKUP(G44,Scénario_Evolution,8,FALSE)*L44)+SUMIFS('3-Variations du fonctionnement'!$H$28:$H$37,'3-Variations du fonctionnement'!$B$28:$B$37,'2-Section de Fonctionnement'!A44),0)</f>
        <v>0</v>
      </c>
      <c r="O44" s="238">
        <f t="shared" si="3"/>
        <v>0</v>
      </c>
      <c r="P44" s="235"/>
      <c r="Q44" s="238">
        <f>-IFERROR((INDEX(C44:M44, MATCH('1-Informations-paramètres '!C$48, $C$9:$M$9, 0)) - INDEX(C44:M44, MATCH('1-Informations-paramètres '!C$49, $C$9:$M$9, 0))) / INDEX(C44:F44, MATCH('1-Informations-paramètres '!C$48, $C$9:$M$9, 0)), "0")</f>
        <v>0</v>
      </c>
    </row>
    <row r="45" spans="1:17" ht="16.5" thickBot="1" x14ac:dyDescent="0.5">
      <c r="O45" s="48"/>
      <c r="Q45" s="48"/>
    </row>
    <row r="46" spans="1:17" ht="17" x14ac:dyDescent="0.45">
      <c r="A46" s="465" t="s">
        <v>110</v>
      </c>
      <c r="B46" s="466"/>
      <c r="C46" s="205">
        <f>C28</f>
        <v>0</v>
      </c>
      <c r="D46" s="205">
        <f>C46+1</f>
        <v>1</v>
      </c>
      <c r="E46" s="205">
        <f>D46+1</f>
        <v>2</v>
      </c>
      <c r="F46" s="206">
        <f>E46+1</f>
        <v>3</v>
      </c>
      <c r="H46" s="207">
        <f>F46+1</f>
        <v>4</v>
      </c>
      <c r="I46" s="205">
        <f>H46+1</f>
        <v>5</v>
      </c>
      <c r="J46" s="205">
        <f>I46+1</f>
        <v>6</v>
      </c>
      <c r="K46" s="205">
        <f>J46+1</f>
        <v>7</v>
      </c>
      <c r="L46" s="205">
        <f>K46+1</f>
        <v>8</v>
      </c>
      <c r="M46" s="206">
        <f>L46+1</f>
        <v>9</v>
      </c>
      <c r="O46" s="228" t="str">
        <f>O28</f>
        <v>Evolution 0/3</v>
      </c>
      <c r="Q46" s="228" t="str">
        <f>"Evolution " &amp;'1-Informations-paramètres '!C48 &amp;"/" &amp;'1-Informations-paramètres '!C49</f>
        <v>Evolution /</v>
      </c>
    </row>
    <row r="47" spans="1:17" x14ac:dyDescent="0.45">
      <c r="A47" s="471" t="s">
        <v>35</v>
      </c>
      <c r="B47" s="472"/>
      <c r="C47" s="59">
        <f t="shared" ref="C47:M47" si="4">C29-C10</f>
        <v>0</v>
      </c>
      <c r="D47" s="59">
        <f t="shared" si="4"/>
        <v>0</v>
      </c>
      <c r="E47" s="59">
        <f t="shared" si="4"/>
        <v>0</v>
      </c>
      <c r="F47" s="60">
        <f t="shared" si="4"/>
        <v>0</v>
      </c>
      <c r="G47" s="41"/>
      <c r="H47" s="58">
        <f t="shared" si="4"/>
        <v>0</v>
      </c>
      <c r="I47" s="59">
        <f t="shared" si="4"/>
        <v>0</v>
      </c>
      <c r="J47" s="59">
        <f t="shared" si="4"/>
        <v>0</v>
      </c>
      <c r="K47" s="59">
        <f t="shared" si="4"/>
        <v>0</v>
      </c>
      <c r="L47" s="59">
        <f t="shared" si="4"/>
        <v>0</v>
      </c>
      <c r="M47" s="60">
        <f t="shared" si="4"/>
        <v>0</v>
      </c>
      <c r="O47" s="91">
        <f t="shared" ref="O47:O50" si="5">IFERROR((F47-C47)/C47,0)</f>
        <v>0</v>
      </c>
      <c r="P47" s="235"/>
      <c r="Q47" s="91">
        <f>-IFERROR((INDEX(C47:M47, MATCH('1-Informations-paramètres '!C$48, $C$9:$M$9, 0)) - INDEX(C47:M47, MATCH('1-Informations-paramètres '!C$49, $C$9:$M$9, 0))) / INDEX(C47:F47, MATCH('1-Informations-paramètres '!C$48, $C$9:$M$9, 0)), "0")</f>
        <v>0</v>
      </c>
    </row>
    <row r="48" spans="1:17" x14ac:dyDescent="0.45">
      <c r="A48" s="473" t="s">
        <v>105</v>
      </c>
      <c r="B48" s="474"/>
      <c r="C48" s="57">
        <f>C47+SUMIFS(C11:C26,$B$11:$B$26,"Non")-SUMIFS(C30:C44,$B$30:$B$44,"Non")</f>
        <v>0</v>
      </c>
      <c r="D48" s="57">
        <f t="shared" ref="D48:F48" si="6">D47+SUMIFS(D11:D26,$B$11:$B$26,"Non")-SUMIFS(D30:D44,$B$30:$B$44,"Non")</f>
        <v>0</v>
      </c>
      <c r="E48" s="57">
        <f t="shared" si="6"/>
        <v>0</v>
      </c>
      <c r="F48" s="51">
        <f t="shared" si="6"/>
        <v>0</v>
      </c>
      <c r="G48" s="41"/>
      <c r="H48" s="61">
        <f>H47+SUMIFS(H11:H26,$B$11:$B$26,"Non")-SUMIFS(H30:H44,$B$30:$B$44,"Non")</f>
        <v>0</v>
      </c>
      <c r="I48" s="57">
        <f t="shared" ref="I48:M48" si="7">I47+SUMIFS(I11:I26,$B$11:$B$26,"Non")-SUMIFS(I30:I44,$B$30:$B$44,"Non")</f>
        <v>0</v>
      </c>
      <c r="J48" s="57">
        <f>J47+SUMIFS(J11:J26,$B$11:$B$26,"Non")-SUMIFS(J30:J44,$B$30:$B$44,"Non")</f>
        <v>0</v>
      </c>
      <c r="K48" s="57">
        <f t="shared" si="7"/>
        <v>0</v>
      </c>
      <c r="L48" s="57">
        <f t="shared" si="7"/>
        <v>0</v>
      </c>
      <c r="M48" s="51">
        <f t="shared" si="7"/>
        <v>0</v>
      </c>
      <c r="O48" s="237">
        <f t="shared" si="5"/>
        <v>0</v>
      </c>
      <c r="P48" s="235"/>
      <c r="Q48" s="237">
        <f>-IFERROR((INDEX(C48:M48, MATCH('1-Informations-paramètres '!C$48, $C$9:$M$9, 0)) - INDEX(C48:M48, MATCH('1-Informations-paramètres '!C$49, $C$9:$M$9, 0))) / INDEX(C48:F48, MATCH('1-Informations-paramètres '!C$48, $C$9:$M$9, 0)), "0")</f>
        <v>0</v>
      </c>
    </row>
    <row r="49" spans="1:17" x14ac:dyDescent="0.45">
      <c r="A49" s="473" t="s">
        <v>36</v>
      </c>
      <c r="B49" s="474"/>
      <c r="C49" s="57">
        <f>C47-'5-Recours à la dette '!B6</f>
        <v>0</v>
      </c>
      <c r="D49" s="57">
        <f>D47-'5-Recours à la dette '!C6</f>
        <v>0</v>
      </c>
      <c r="E49" s="57">
        <f>E47-'5-Recours à la dette '!D6</f>
        <v>0</v>
      </c>
      <c r="F49" s="51">
        <f>F47-'5-Recours à la dette '!E6</f>
        <v>0</v>
      </c>
      <c r="G49" s="41"/>
      <c r="H49" s="61">
        <f>H47-'4-Section d''Investissement'!G16</f>
        <v>0</v>
      </c>
      <c r="I49" s="57">
        <f>I47-'4-Section d''Investissement'!H16</f>
        <v>0</v>
      </c>
      <c r="J49" s="57">
        <f>J47-'4-Section d''Investissement'!I16</f>
        <v>0</v>
      </c>
      <c r="K49" s="57">
        <f>K47-'4-Section d''Investissement'!J16</f>
        <v>0</v>
      </c>
      <c r="L49" s="57">
        <f>L47-'4-Section d''Investissement'!K16</f>
        <v>0</v>
      </c>
      <c r="M49" s="51">
        <f>M47-'4-Section d''Investissement'!L16</f>
        <v>0</v>
      </c>
      <c r="O49" s="237">
        <f t="shared" si="5"/>
        <v>0</v>
      </c>
      <c r="P49" s="235"/>
      <c r="Q49" s="237">
        <f>-IFERROR((INDEX(C49:M49, MATCH('1-Informations-paramètres '!C$48, $C$9:$M$9, 0)) - INDEX(C49:M49, MATCH('1-Informations-paramètres '!C$49, $C$9:$M$9, 0))) / INDEX(C49:F49, MATCH('1-Informations-paramètres '!C$48, $C$9:$M$9, 0)), "0")</f>
        <v>0</v>
      </c>
    </row>
    <row r="50" spans="1:17" ht="16.5" thickBot="1" x14ac:dyDescent="0.5">
      <c r="A50" s="463" t="s">
        <v>37</v>
      </c>
      <c r="B50" s="464"/>
      <c r="C50" s="232">
        <f>IFERROR(C48/C29,0)</f>
        <v>0</v>
      </c>
      <c r="D50" s="233">
        <f>IFERROR(D48/D29,0)</f>
        <v>0</v>
      </c>
      <c r="E50" s="233">
        <f>IFERROR(E48/E29,0)</f>
        <v>0</v>
      </c>
      <c r="F50" s="234">
        <f>IFERROR(F48/F29,0)</f>
        <v>0</v>
      </c>
      <c r="G50" s="235"/>
      <c r="H50" s="236">
        <f t="shared" ref="H50:M50" si="8">IFERROR(H48/H29,0)</f>
        <v>0</v>
      </c>
      <c r="I50" s="233">
        <f t="shared" si="8"/>
        <v>0</v>
      </c>
      <c r="J50" s="233">
        <f t="shared" si="8"/>
        <v>0</v>
      </c>
      <c r="K50" s="233">
        <f t="shared" si="8"/>
        <v>0</v>
      </c>
      <c r="L50" s="233">
        <f t="shared" si="8"/>
        <v>0</v>
      </c>
      <c r="M50" s="234">
        <f t="shared" si="8"/>
        <v>0</v>
      </c>
      <c r="O50" s="238">
        <f t="shared" si="5"/>
        <v>0</v>
      </c>
      <c r="P50" s="235"/>
      <c r="Q50" s="238">
        <f>-IFERROR((INDEX(C50:M50, MATCH('1-Informations-paramètres '!C$48, $C$9:$M$9, 0)) - INDEX(C50:M50, MATCH('1-Informations-paramètres '!C$49, $C$9:$M$9, 0))) / INDEX(C50:F50, MATCH('1-Informations-paramètres '!C$48, $C$9:$M$9, 0)), "0")</f>
        <v>0</v>
      </c>
    </row>
    <row r="51" spans="1:17" x14ac:dyDescent="0.45">
      <c r="Q51" s="48"/>
    </row>
    <row r="52" spans="1:17" x14ac:dyDescent="0.45">
      <c r="B52" s="356"/>
    </row>
    <row r="55" spans="1:17" hidden="1" x14ac:dyDescent="0.45">
      <c r="A55" s="39" t="s">
        <v>30</v>
      </c>
    </row>
    <row r="56" spans="1:17" hidden="1" x14ac:dyDescent="0.45">
      <c r="A56" s="39" t="s">
        <v>31</v>
      </c>
    </row>
  </sheetData>
  <sheetProtection algorithmName="SHA-512" hashValue="iNmdejyTUPkxQsLufB6jGH4Ti65ZKDPlf99ntqucqp9DXmTRcEH62w9AEn7EcmlNo0oaLB4yBhGqUN7mUPOQjQ==" saltValue="S/t3x1AE9evhC3SdNQKPfw==" spinCount="100000" sheet="1" objects="1" scenarios="1" formatRows="0"/>
  <mergeCells count="14">
    <mergeCell ref="A50:B50"/>
    <mergeCell ref="A46:B46"/>
    <mergeCell ref="A2:M2"/>
    <mergeCell ref="A1:Q1"/>
    <mergeCell ref="A47:B47"/>
    <mergeCell ref="A48:B48"/>
    <mergeCell ref="A49:B49"/>
    <mergeCell ref="G9:G10"/>
    <mergeCell ref="G28:G29"/>
    <mergeCell ref="C7:F7"/>
    <mergeCell ref="H7:M7"/>
    <mergeCell ref="B4:C4"/>
    <mergeCell ref="B5:C5"/>
    <mergeCell ref="B3:C3"/>
  </mergeCells>
  <conditionalFormatting sqref="C50:F50 H50:M50">
    <cfRule type="iconSet" priority="1">
      <iconSet iconSet="3Flags">
        <cfvo type="percent" val="0"/>
        <cfvo type="num" val="0"/>
        <cfvo type="num" val="0.1"/>
      </iconSet>
    </cfRule>
  </conditionalFormatting>
  <dataValidations xWindow="209" yWindow="704" count="5">
    <dataValidation type="list" allowBlank="1" showInputMessage="1" showErrorMessage="1" sqref="B11:B12" xr:uid="{A662D4C7-C7C3-4EC9-95A5-57F24EBA01D3}">
      <formula1>$A$55:$A$56</formula1>
    </dataValidation>
    <dataValidation allowBlank="1" showInputMessage="1" showErrorMessage="1" sqref="Q9" xr:uid="{427183A2-DBBF-4FD0-B314-5560B7A702BE}"/>
    <dataValidation type="decimal" operator="greaterThanOrEqual" allowBlank="1" showErrorMessage="1" errorTitle="Attention" error="Le nombre saisi doit être suppérieur ou égale à zéro." sqref="B4:C5" xr:uid="{CBE57799-5D89-4DD2-ABDC-4B206582B387}">
      <formula1>0</formula1>
    </dataValidation>
    <dataValidation type="list" allowBlank="1" showErrorMessage="1" errorTitle="Erreur " error="Merci de saisir &quot;Oui ou Non&quot;" sqref="B13:B26" xr:uid="{D5891DB6-7DD2-4C62-B55F-EB4E351F46AA}">
      <formula1>$A$55:$A$56</formula1>
    </dataValidation>
    <dataValidation type="list" allowBlank="1" showErrorMessage="1" errorTitle="Erreur" error="Merci de saisir &quot;Oui&quot; ou &quot;Non&quot;" sqref="B30:B44" xr:uid="{BB183724-F6FA-4953-B742-3E021B0A4CD9}">
      <formula1>$A$55:$A$56</formula1>
    </dataValidation>
  </dataValidations>
  <pageMargins left="0.7" right="0.7" top="0.75" bottom="0.75" header="0.3" footer="0.3"/>
  <pageSetup paperSize="8" scale="7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4B786154-27B7-471E-B657-B80AAC2EEF05}">
            <x14:iconSet iconSet="3Flags" custom="1">
              <x14:cfvo type="percent">
                <xm:f>0</xm:f>
              </x14:cfvo>
              <x14:cfvo type="num">
                <xm:f>0</xm:f>
              </x14:cfvo>
              <x14:cfvo type="num">
                <xm:f>0</xm:f>
              </x14:cfvo>
              <x14:cfIcon iconSet="3Flags" iconId="0"/>
              <x14:cfIcon iconSet="NoIcons" iconId="0"/>
              <x14:cfIcon iconSet="NoIcons" iconId="0"/>
            </x14:iconSet>
          </x14:cfRule>
          <xm:sqref>C49:F49 H49:M49</xm:sqref>
        </x14:conditionalFormatting>
      </x14:conditionalFormattings>
    </ext>
    <ext xmlns:x14="http://schemas.microsoft.com/office/spreadsheetml/2009/9/main" uri="{CCE6A557-97BC-4b89-ADB6-D9C93CAAB3DF}">
      <x14:dataValidations xmlns:xm="http://schemas.microsoft.com/office/excel/2006/main" xWindow="209" yWindow="704" count="7">
        <x14:dataValidation type="list" showErrorMessage="1" errorTitle="Saisie non conforme" error="Vous devez choisir une entrée parmis la liste déroulante (en cliquant sur la flêche à droite de la cellule)._x000a_Cette liste peut être modifiée dans dans l'onglet &quot;1-Informations et paramétrages&quot;." xr:uid="{1C4F0267-6925-4E78-8A4A-F174EFF3B62B}">
          <x14:formula1>
            <xm:f>'1-Informations-paramètres '!$D$19:$D$32</xm:f>
          </x14:formula1>
          <xm:sqref>A30:A43</xm:sqref>
        </x14:dataValidation>
        <x14:dataValidation type="list" allowBlank="1" showErrorMessage="1" errorTitle="Saisie non conforme" error="Vous devez choisir une entrée parmis la liste déroulante (en cliquant sur la flêche à droite de la cellule)._x000a_Cette liste peut être modifiée dans dans l'onglet &quot;3-Variation prospective - Section de fonctionnement&quot;." xr:uid="{F911C6EB-5926-466C-83D5-6C2D6F9FCC37}">
          <x14:formula1>
            <xm:f>'3-Variations du fonctionnement'!$A$4:$A$13</xm:f>
          </x14:formula1>
          <xm:sqref>G30:G44 G13:G26 G11</xm:sqref>
        </x14:dataValidation>
        <x14:dataValidation type="list" allowBlank="1" showInputMessage="1" showErrorMessage="1" xr:uid="{059CDF66-1760-4905-9E9B-A472ACBDD6D0}">
          <x14:formula1>
            <xm:f>'1-Informations-paramètres '!$B$54:$B$61</xm:f>
          </x14:formula1>
          <xm:sqref>Q4</xm:sqref>
        </x14:dataValidation>
        <x14:dataValidation type="list" allowBlank="1" showInputMessage="1" showErrorMessage="1" xr:uid="{B58DEC4E-456A-4402-9111-5217DBD886AE}">
          <x14:formula1>
            <xm:f>'1-Informations-paramètres '!$B$55:$B$62</xm:f>
          </x14:formula1>
          <xm:sqref>R4</xm:sqref>
        </x14:dataValidation>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27F497CB-3123-4A0B-B9B7-99E9450B9199}">
          <x14:formula1>
            <xm:f>'1-Informations-paramètres '!$B$21:$B$32</xm:f>
          </x14:formula1>
          <xm:sqref>A13:A25</xm:sqref>
        </x14:dataValidation>
        <x14:dataValidation type="list" allowBlank="1" showInputMessage="1" showErrorMessage="1" xr:uid="{DFC3E2BA-38CF-4947-923B-A2EA7A584B01}">
          <x14:formula1>
            <xm:f>'1-Informations-paramètres '!$B$19</xm:f>
          </x14:formula1>
          <xm:sqref>A11</xm:sqref>
        </x14:dataValidation>
        <x14:dataValidation type="list" allowBlank="1" showInputMessage="1" showErrorMessage="1" xr:uid="{64A3ED7E-C13E-4D9E-87F5-A4C770D8F3C5}">
          <x14:formula1>
            <xm:f>'1-Informations-paramètres '!$B$20</xm:f>
          </x14:formula1>
          <xm:sqref>A12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41CE-F5A1-427F-8563-646FF7A74C5B}">
  <sheetPr codeName="Feuil3">
    <pageSetUpPr fitToPage="1"/>
  </sheetPr>
  <dimension ref="A1:P37"/>
  <sheetViews>
    <sheetView zoomScale="80" zoomScaleNormal="80" workbookViewId="0">
      <selection activeCell="D57" sqref="D57"/>
    </sheetView>
  </sheetViews>
  <sheetFormatPr baseColWidth="10" defaultColWidth="11.54296875" defaultRowHeight="16.5" x14ac:dyDescent="0.45"/>
  <cols>
    <col min="1" max="1" width="37.1796875" style="66" customWidth="1"/>
    <col min="2" max="2" width="20.81640625" style="66" customWidth="1"/>
    <col min="3" max="8" width="10.7265625" style="66" customWidth="1"/>
    <col min="9" max="9" width="14" style="66" customWidth="1"/>
    <col min="10" max="10" width="1.54296875" style="66" customWidth="1"/>
    <col min="11" max="16384" width="11.54296875" style="66"/>
  </cols>
  <sheetData>
    <row r="1" spans="1:16" ht="21.5" thickBot="1" x14ac:dyDescent="0.6">
      <c r="A1" s="502" t="s">
        <v>38</v>
      </c>
      <c r="B1" s="503"/>
      <c r="C1" s="503"/>
      <c r="D1" s="503"/>
      <c r="E1" s="503"/>
      <c r="F1" s="503"/>
      <c r="G1" s="503"/>
      <c r="H1" s="503"/>
      <c r="I1" s="503"/>
      <c r="J1" s="503"/>
      <c r="K1" s="503"/>
      <c r="L1" s="503"/>
      <c r="M1" s="503"/>
      <c r="N1" s="503"/>
      <c r="O1" s="503"/>
      <c r="P1" s="503"/>
    </row>
    <row r="2" spans="1:16" ht="17" thickBot="1" x14ac:dyDescent="0.5">
      <c r="A2" s="510" t="str">
        <f>"Les montants ci-dessous sont exprimés " &amp; '1-Informations-paramètres '!C10</f>
        <v>Les montants ci-dessous sont exprimés en milliers d'euros</v>
      </c>
      <c r="B2" s="510"/>
      <c r="C2" s="510"/>
      <c r="D2" s="510"/>
      <c r="E2" s="510"/>
      <c r="F2" s="510"/>
      <c r="G2" s="510"/>
      <c r="H2" s="510"/>
      <c r="I2" s="510"/>
    </row>
    <row r="3" spans="1:16" ht="25.15" customHeight="1" x14ac:dyDescent="0.45">
      <c r="A3" s="506" t="s">
        <v>39</v>
      </c>
      <c r="B3" s="507"/>
      <c r="C3" s="208">
        <f>+'2-Section de Fonctionnement'!H9</f>
        <v>4</v>
      </c>
      <c r="D3" s="208">
        <f>C3+1</f>
        <v>5</v>
      </c>
      <c r="E3" s="208">
        <f>D3+1</f>
        <v>6</v>
      </c>
      <c r="F3" s="208">
        <f>E3+1</f>
        <v>7</v>
      </c>
      <c r="G3" s="208">
        <f>F3+1</f>
        <v>8</v>
      </c>
      <c r="H3" s="414">
        <f>G3+1</f>
        <v>9</v>
      </c>
    </row>
    <row r="4" spans="1:16" x14ac:dyDescent="0.45">
      <c r="A4" s="508" t="s">
        <v>127</v>
      </c>
      <c r="B4" s="509"/>
      <c r="C4" s="98">
        <v>0</v>
      </c>
      <c r="D4" s="98">
        <v>0</v>
      </c>
      <c r="E4" s="98">
        <v>0</v>
      </c>
      <c r="F4" s="99">
        <v>0</v>
      </c>
      <c r="G4" s="99">
        <v>0</v>
      </c>
      <c r="H4" s="100">
        <v>0</v>
      </c>
    </row>
    <row r="5" spans="1:16" x14ac:dyDescent="0.45">
      <c r="A5" s="504" t="s">
        <v>128</v>
      </c>
      <c r="B5" s="505"/>
      <c r="C5" s="98"/>
      <c r="D5" s="98"/>
      <c r="E5" s="98"/>
      <c r="F5" s="99"/>
      <c r="G5" s="99"/>
      <c r="H5" s="100"/>
    </row>
    <row r="6" spans="1:16" x14ac:dyDescent="0.45">
      <c r="A6" s="504" t="s">
        <v>129</v>
      </c>
      <c r="B6" s="505"/>
      <c r="C6" s="98"/>
      <c r="D6" s="98"/>
      <c r="E6" s="98"/>
      <c r="F6" s="99"/>
      <c r="G6" s="99"/>
      <c r="H6" s="100"/>
    </row>
    <row r="7" spans="1:16" x14ac:dyDescent="0.45">
      <c r="A7" s="504" t="s">
        <v>130</v>
      </c>
      <c r="B7" s="505"/>
      <c r="C7" s="98"/>
      <c r="D7" s="98"/>
      <c r="E7" s="98"/>
      <c r="F7" s="99"/>
      <c r="G7" s="99"/>
      <c r="H7" s="100"/>
    </row>
    <row r="8" spans="1:16" x14ac:dyDescent="0.45">
      <c r="A8" s="504" t="s">
        <v>131</v>
      </c>
      <c r="B8" s="505"/>
      <c r="C8" s="98"/>
      <c r="D8" s="98"/>
      <c r="E8" s="98"/>
      <c r="F8" s="99"/>
      <c r="G8" s="99"/>
      <c r="H8" s="100"/>
    </row>
    <row r="9" spans="1:16" x14ac:dyDescent="0.45">
      <c r="A9" s="504" t="s">
        <v>132</v>
      </c>
      <c r="B9" s="505"/>
      <c r="C9" s="98"/>
      <c r="D9" s="98"/>
      <c r="E9" s="98"/>
      <c r="F9" s="99"/>
      <c r="G9" s="99"/>
      <c r="H9" s="100"/>
    </row>
    <row r="10" spans="1:16" x14ac:dyDescent="0.45">
      <c r="A10" s="504" t="s">
        <v>133</v>
      </c>
      <c r="B10" s="505"/>
      <c r="C10" s="98"/>
      <c r="D10" s="98"/>
      <c r="E10" s="98"/>
      <c r="F10" s="99"/>
      <c r="G10" s="99"/>
      <c r="H10" s="100"/>
    </row>
    <row r="11" spans="1:16" x14ac:dyDescent="0.45">
      <c r="A11" s="504"/>
      <c r="B11" s="505"/>
      <c r="C11" s="98"/>
      <c r="D11" s="98"/>
      <c r="E11" s="98"/>
      <c r="F11" s="99"/>
      <c r="G11" s="99"/>
      <c r="H11" s="100"/>
    </row>
    <row r="12" spans="1:16" x14ac:dyDescent="0.45">
      <c r="A12" s="504"/>
      <c r="B12" s="505"/>
      <c r="C12" s="98"/>
      <c r="D12" s="98"/>
      <c r="E12" s="98"/>
      <c r="F12" s="99"/>
      <c r="G12" s="99"/>
      <c r="H12" s="100"/>
    </row>
    <row r="13" spans="1:16" ht="17" thickBot="1" x14ac:dyDescent="0.5">
      <c r="A13" s="497"/>
      <c r="B13" s="498"/>
      <c r="C13" s="101"/>
      <c r="D13" s="101"/>
      <c r="E13" s="101"/>
      <c r="F13" s="102"/>
      <c r="G13" s="102"/>
      <c r="H13" s="103"/>
    </row>
    <row r="14" spans="1:16" ht="17" thickBot="1" x14ac:dyDescent="0.5">
      <c r="A14" s="86"/>
      <c r="I14" s="97"/>
      <c r="J14" s="97"/>
    </row>
    <row r="15" spans="1:16" ht="36" customHeight="1" thickBot="1" x14ac:dyDescent="0.5">
      <c r="A15" s="209" t="s">
        <v>126</v>
      </c>
      <c r="B15" s="210" t="s">
        <v>40</v>
      </c>
      <c r="C15" s="211">
        <f>C3</f>
        <v>4</v>
      </c>
      <c r="D15" s="212">
        <f>C15+1</f>
        <v>5</v>
      </c>
      <c r="E15" s="212">
        <f>D15+1</f>
        <v>6</v>
      </c>
      <c r="F15" s="212">
        <f t="shared" ref="F15:H15" si="0">E15+1</f>
        <v>7</v>
      </c>
      <c r="G15" s="212">
        <f t="shared" si="0"/>
        <v>8</v>
      </c>
      <c r="H15" s="213">
        <f t="shared" si="0"/>
        <v>9</v>
      </c>
      <c r="I15" s="214" t="s">
        <v>41</v>
      </c>
      <c r="J15" s="87"/>
      <c r="K15" s="309">
        <f>C15</f>
        <v>4</v>
      </c>
      <c r="L15" s="310">
        <f t="shared" ref="L15:P15" si="1">D15</f>
        <v>5</v>
      </c>
      <c r="M15" s="310">
        <f t="shared" si="1"/>
        <v>6</v>
      </c>
      <c r="N15" s="310">
        <f t="shared" si="1"/>
        <v>7</v>
      </c>
      <c r="O15" s="310">
        <f t="shared" si="1"/>
        <v>8</v>
      </c>
      <c r="P15" s="311">
        <f t="shared" si="1"/>
        <v>9</v>
      </c>
    </row>
    <row r="16" spans="1:16" ht="19.5" customHeight="1" x14ac:dyDescent="0.45">
      <c r="A16" s="499" t="str">
        <f>"VARIATION DES DEPENSES (ajout ou diminution) " &amp; '1-Informations-paramètres '!C10</f>
        <v>VARIATION DES DEPENSES (ajout ou diminution) en milliers d'euros</v>
      </c>
      <c r="B16" s="500"/>
      <c r="C16" s="500"/>
      <c r="D16" s="500"/>
      <c r="E16" s="500"/>
      <c r="F16" s="500"/>
      <c r="G16" s="500"/>
      <c r="H16" s="501"/>
      <c r="I16" s="404">
        <f>SUM(I17:I26)</f>
        <v>0</v>
      </c>
      <c r="J16" s="87"/>
      <c r="K16" s="494" t="s">
        <v>101</v>
      </c>
      <c r="L16" s="495"/>
      <c r="M16" s="495"/>
      <c r="N16" s="495"/>
      <c r="O16" s="495"/>
      <c r="P16" s="496"/>
    </row>
    <row r="17" spans="1:16" ht="16.899999999999999" customHeight="1" x14ac:dyDescent="0.45">
      <c r="A17" s="358"/>
      <c r="B17" s="363"/>
      <c r="C17" s="239"/>
      <c r="D17" s="240"/>
      <c r="E17" s="240"/>
      <c r="F17" s="240"/>
      <c r="G17" s="240"/>
      <c r="H17" s="241"/>
      <c r="I17" s="403">
        <f>SUM(C17:H17)</f>
        <v>0</v>
      </c>
      <c r="J17" s="243"/>
      <c r="K17" s="244">
        <f>C17</f>
        <v>0</v>
      </c>
      <c r="L17" s="245">
        <f>K17+D17</f>
        <v>0</v>
      </c>
      <c r="M17" s="245">
        <f t="shared" ref="M17:P17" si="2">L17+E17</f>
        <v>0</v>
      </c>
      <c r="N17" s="245">
        <f t="shared" si="2"/>
        <v>0</v>
      </c>
      <c r="O17" s="245">
        <f t="shared" si="2"/>
        <v>0</v>
      </c>
      <c r="P17" s="246">
        <f t="shared" si="2"/>
        <v>0</v>
      </c>
    </row>
    <row r="18" spans="1:16" ht="16.899999999999999" customHeight="1" x14ac:dyDescent="0.45">
      <c r="A18" s="357"/>
      <c r="B18" s="364"/>
      <c r="C18" s="64"/>
      <c r="D18" s="65"/>
      <c r="E18" s="65"/>
      <c r="F18" s="65"/>
      <c r="G18" s="65"/>
      <c r="H18" s="247"/>
      <c r="I18" s="242">
        <f t="shared" ref="I18:I26" si="3">SUM(C18:H18)</f>
        <v>0</v>
      </c>
      <c r="J18" s="243"/>
      <c r="K18" s="248">
        <f t="shared" ref="K18:K37" si="4">C18</f>
        <v>0</v>
      </c>
      <c r="L18" s="249">
        <f t="shared" ref="L18:L37" si="5">K18+D18</f>
        <v>0</v>
      </c>
      <c r="M18" s="249">
        <f t="shared" ref="M18:M37" si="6">L18+E18</f>
        <v>0</v>
      </c>
      <c r="N18" s="249">
        <f t="shared" ref="N18:N37" si="7">M18+F18</f>
        <v>0</v>
      </c>
      <c r="O18" s="249">
        <f t="shared" ref="O18:O37" si="8">N18+G18</f>
        <v>0</v>
      </c>
      <c r="P18" s="250">
        <f t="shared" ref="P18:P37" si="9">O18+H18</f>
        <v>0</v>
      </c>
    </row>
    <row r="19" spans="1:16" ht="16.899999999999999" customHeight="1" x14ac:dyDescent="0.45">
      <c r="A19" s="357"/>
      <c r="B19" s="364"/>
      <c r="C19" s="64"/>
      <c r="D19" s="65"/>
      <c r="E19" s="65"/>
      <c r="F19" s="65"/>
      <c r="G19" s="65"/>
      <c r="H19" s="247"/>
      <c r="I19" s="242">
        <f t="shared" si="3"/>
        <v>0</v>
      </c>
      <c r="J19" s="243"/>
      <c r="K19" s="248">
        <f t="shared" si="4"/>
        <v>0</v>
      </c>
      <c r="L19" s="249">
        <f t="shared" si="5"/>
        <v>0</v>
      </c>
      <c r="M19" s="249">
        <f t="shared" si="6"/>
        <v>0</v>
      </c>
      <c r="N19" s="249">
        <f t="shared" si="7"/>
        <v>0</v>
      </c>
      <c r="O19" s="249">
        <f t="shared" si="8"/>
        <v>0</v>
      </c>
      <c r="P19" s="250">
        <f t="shared" si="9"/>
        <v>0</v>
      </c>
    </row>
    <row r="20" spans="1:16" ht="16.899999999999999" customHeight="1" x14ac:dyDescent="0.45">
      <c r="A20" s="357"/>
      <c r="B20" s="364"/>
      <c r="C20" s="64"/>
      <c r="D20" s="65"/>
      <c r="E20" s="65"/>
      <c r="F20" s="65"/>
      <c r="G20" s="65"/>
      <c r="H20" s="247"/>
      <c r="I20" s="242">
        <f t="shared" si="3"/>
        <v>0</v>
      </c>
      <c r="J20" s="243"/>
      <c r="K20" s="248">
        <f t="shared" si="4"/>
        <v>0</v>
      </c>
      <c r="L20" s="249">
        <f t="shared" si="5"/>
        <v>0</v>
      </c>
      <c r="M20" s="249">
        <f t="shared" si="6"/>
        <v>0</v>
      </c>
      <c r="N20" s="249">
        <f t="shared" si="7"/>
        <v>0</v>
      </c>
      <c r="O20" s="249">
        <f t="shared" si="8"/>
        <v>0</v>
      </c>
      <c r="P20" s="250">
        <f t="shared" si="9"/>
        <v>0</v>
      </c>
    </row>
    <row r="21" spans="1:16" ht="16.899999999999999" customHeight="1" x14ac:dyDescent="0.45">
      <c r="A21" s="357"/>
      <c r="B21" s="365"/>
      <c r="C21" s="251"/>
      <c r="D21" s="65"/>
      <c r="E21" s="65"/>
      <c r="F21" s="65"/>
      <c r="G21" s="65"/>
      <c r="H21" s="247"/>
      <c r="I21" s="242">
        <f t="shared" si="3"/>
        <v>0</v>
      </c>
      <c r="J21" s="243"/>
      <c r="K21" s="248">
        <f t="shared" si="4"/>
        <v>0</v>
      </c>
      <c r="L21" s="249">
        <f t="shared" si="5"/>
        <v>0</v>
      </c>
      <c r="M21" s="249">
        <f t="shared" si="6"/>
        <v>0</v>
      </c>
      <c r="N21" s="249">
        <f t="shared" si="7"/>
        <v>0</v>
      </c>
      <c r="O21" s="249">
        <f t="shared" si="8"/>
        <v>0</v>
      </c>
      <c r="P21" s="250">
        <f t="shared" si="9"/>
        <v>0</v>
      </c>
    </row>
    <row r="22" spans="1:16" ht="16.899999999999999" customHeight="1" x14ac:dyDescent="0.45">
      <c r="A22" s="357"/>
      <c r="B22" s="364"/>
      <c r="C22" s="64"/>
      <c r="D22" s="65"/>
      <c r="E22" s="65"/>
      <c r="F22" s="65"/>
      <c r="G22" s="65"/>
      <c r="H22" s="247"/>
      <c r="I22" s="242">
        <f t="shared" si="3"/>
        <v>0</v>
      </c>
      <c r="J22" s="243"/>
      <c r="K22" s="248">
        <f t="shared" si="4"/>
        <v>0</v>
      </c>
      <c r="L22" s="249">
        <f t="shared" si="5"/>
        <v>0</v>
      </c>
      <c r="M22" s="249">
        <f t="shared" si="6"/>
        <v>0</v>
      </c>
      <c r="N22" s="249">
        <f t="shared" si="7"/>
        <v>0</v>
      </c>
      <c r="O22" s="249">
        <f t="shared" si="8"/>
        <v>0</v>
      </c>
      <c r="P22" s="250">
        <f t="shared" si="9"/>
        <v>0</v>
      </c>
    </row>
    <row r="23" spans="1:16" ht="16.899999999999999" customHeight="1" x14ac:dyDescent="0.45">
      <c r="A23" s="357"/>
      <c r="B23" s="364"/>
      <c r="C23" s="64"/>
      <c r="D23" s="65"/>
      <c r="E23" s="65"/>
      <c r="F23" s="65"/>
      <c r="G23" s="65"/>
      <c r="H23" s="247"/>
      <c r="I23" s="242">
        <f t="shared" si="3"/>
        <v>0</v>
      </c>
      <c r="J23" s="243"/>
      <c r="K23" s="248">
        <f t="shared" si="4"/>
        <v>0</v>
      </c>
      <c r="L23" s="249">
        <f t="shared" si="5"/>
        <v>0</v>
      </c>
      <c r="M23" s="249">
        <f t="shared" si="6"/>
        <v>0</v>
      </c>
      <c r="N23" s="249">
        <f t="shared" si="7"/>
        <v>0</v>
      </c>
      <c r="O23" s="249">
        <f t="shared" si="8"/>
        <v>0</v>
      </c>
      <c r="P23" s="250">
        <f t="shared" si="9"/>
        <v>0</v>
      </c>
    </row>
    <row r="24" spans="1:16" ht="16.899999999999999" customHeight="1" x14ac:dyDescent="0.45">
      <c r="A24" s="357"/>
      <c r="B24" s="364"/>
      <c r="C24" s="64"/>
      <c r="D24" s="65"/>
      <c r="E24" s="65"/>
      <c r="F24" s="65"/>
      <c r="G24" s="65"/>
      <c r="H24" s="247"/>
      <c r="I24" s="242">
        <f t="shared" si="3"/>
        <v>0</v>
      </c>
      <c r="J24" s="243"/>
      <c r="K24" s="248">
        <f t="shared" si="4"/>
        <v>0</v>
      </c>
      <c r="L24" s="249">
        <f t="shared" si="5"/>
        <v>0</v>
      </c>
      <c r="M24" s="249">
        <f t="shared" si="6"/>
        <v>0</v>
      </c>
      <c r="N24" s="249">
        <f t="shared" si="7"/>
        <v>0</v>
      </c>
      <c r="O24" s="249">
        <f t="shared" si="8"/>
        <v>0</v>
      </c>
      <c r="P24" s="250">
        <f t="shared" si="9"/>
        <v>0</v>
      </c>
    </row>
    <row r="25" spans="1:16" ht="16.899999999999999" customHeight="1" x14ac:dyDescent="0.45">
      <c r="A25" s="357"/>
      <c r="B25" s="364"/>
      <c r="C25" s="64"/>
      <c r="D25" s="65"/>
      <c r="E25" s="65"/>
      <c r="F25" s="65"/>
      <c r="G25" s="65"/>
      <c r="H25" s="247"/>
      <c r="I25" s="242">
        <f t="shared" si="3"/>
        <v>0</v>
      </c>
      <c r="J25" s="243"/>
      <c r="K25" s="248">
        <f t="shared" si="4"/>
        <v>0</v>
      </c>
      <c r="L25" s="249">
        <f t="shared" si="5"/>
        <v>0</v>
      </c>
      <c r="M25" s="249">
        <f t="shared" si="6"/>
        <v>0</v>
      </c>
      <c r="N25" s="249">
        <f t="shared" si="7"/>
        <v>0</v>
      </c>
      <c r="O25" s="249">
        <f t="shared" si="8"/>
        <v>0</v>
      </c>
      <c r="P25" s="250">
        <f t="shared" si="9"/>
        <v>0</v>
      </c>
    </row>
    <row r="26" spans="1:16" ht="17.5" customHeight="1" thickBot="1" x14ac:dyDescent="0.5">
      <c r="A26" s="359"/>
      <c r="B26" s="366"/>
      <c r="C26" s="252"/>
      <c r="D26" s="253"/>
      <c r="E26" s="253"/>
      <c r="F26" s="253"/>
      <c r="G26" s="253"/>
      <c r="H26" s="254"/>
      <c r="I26" s="255">
        <f t="shared" si="3"/>
        <v>0</v>
      </c>
      <c r="J26" s="243"/>
      <c r="K26" s="248">
        <f t="shared" si="4"/>
        <v>0</v>
      </c>
      <c r="L26" s="249">
        <f t="shared" si="5"/>
        <v>0</v>
      </c>
      <c r="M26" s="249">
        <f t="shared" si="6"/>
        <v>0</v>
      </c>
      <c r="N26" s="249">
        <f t="shared" si="7"/>
        <v>0</v>
      </c>
      <c r="O26" s="249">
        <f t="shared" si="8"/>
        <v>0</v>
      </c>
      <c r="P26" s="250">
        <f t="shared" si="9"/>
        <v>0</v>
      </c>
    </row>
    <row r="27" spans="1:16" ht="22.15" customHeight="1" x14ac:dyDescent="0.45">
      <c r="A27" s="491" t="str">
        <f>"VARIATION DES RECETTES (ajout ou diminution) " &amp; '1-Informations-paramètres '!C10</f>
        <v>VARIATION DES RECETTES (ajout ou diminution) en milliers d'euros</v>
      </c>
      <c r="B27" s="492"/>
      <c r="C27" s="492"/>
      <c r="D27" s="492"/>
      <c r="E27" s="492"/>
      <c r="F27" s="492"/>
      <c r="G27" s="492"/>
      <c r="H27" s="493"/>
      <c r="I27" s="158">
        <f>SUM(I28:I37)</f>
        <v>0</v>
      </c>
      <c r="J27" s="87"/>
      <c r="K27" s="491" t="s">
        <v>102</v>
      </c>
      <c r="L27" s="492"/>
      <c r="M27" s="492"/>
      <c r="N27" s="492"/>
      <c r="O27" s="492"/>
      <c r="P27" s="493"/>
    </row>
    <row r="28" spans="1:16" ht="16.899999999999999" customHeight="1" x14ac:dyDescent="0.45">
      <c r="A28" s="426"/>
      <c r="B28" s="431"/>
      <c r="C28" s="239"/>
      <c r="D28" s="240"/>
      <c r="E28" s="240"/>
      <c r="F28" s="240"/>
      <c r="G28" s="240"/>
      <c r="H28" s="241"/>
      <c r="I28" s="256">
        <f t="shared" ref="I28:I34" si="10">SUM(C28:H28)</f>
        <v>0</v>
      </c>
      <c r="J28" s="243"/>
      <c r="K28" s="248">
        <f t="shared" ref="K28:K34" si="11">C28</f>
        <v>0</v>
      </c>
      <c r="L28" s="249">
        <f t="shared" ref="L28:P34" si="12">K28+D28</f>
        <v>0</v>
      </c>
      <c r="M28" s="249">
        <f t="shared" si="12"/>
        <v>0</v>
      </c>
      <c r="N28" s="249">
        <f t="shared" si="12"/>
        <v>0</v>
      </c>
      <c r="O28" s="249">
        <f t="shared" si="12"/>
        <v>0</v>
      </c>
      <c r="P28" s="250">
        <f t="shared" si="12"/>
        <v>0</v>
      </c>
    </row>
    <row r="29" spans="1:16" ht="16.899999999999999" customHeight="1" x14ac:dyDescent="0.45">
      <c r="A29" s="357"/>
      <c r="B29" s="432"/>
      <c r="C29" s="64"/>
      <c r="D29" s="65"/>
      <c r="E29" s="65"/>
      <c r="F29" s="65"/>
      <c r="G29" s="65"/>
      <c r="H29" s="247"/>
      <c r="I29" s="256">
        <f t="shared" si="10"/>
        <v>0</v>
      </c>
      <c r="J29" s="243"/>
      <c r="K29" s="248">
        <f t="shared" si="11"/>
        <v>0</v>
      </c>
      <c r="L29" s="249">
        <f t="shared" si="12"/>
        <v>0</v>
      </c>
      <c r="M29" s="249">
        <f t="shared" si="12"/>
        <v>0</v>
      </c>
      <c r="N29" s="249">
        <f t="shared" si="12"/>
        <v>0</v>
      </c>
      <c r="O29" s="249">
        <f t="shared" si="12"/>
        <v>0</v>
      </c>
      <c r="P29" s="250">
        <f t="shared" si="12"/>
        <v>0</v>
      </c>
    </row>
    <row r="30" spans="1:16" x14ac:dyDescent="0.45">
      <c r="A30" s="357"/>
      <c r="B30" s="432"/>
      <c r="C30" s="64"/>
      <c r="D30" s="65"/>
      <c r="E30" s="65"/>
      <c r="F30" s="65"/>
      <c r="G30" s="65"/>
      <c r="H30" s="247"/>
      <c r="I30" s="256">
        <f t="shared" si="10"/>
        <v>0</v>
      </c>
      <c r="J30" s="257"/>
      <c r="K30" s="248">
        <f t="shared" si="11"/>
        <v>0</v>
      </c>
      <c r="L30" s="249">
        <f t="shared" si="12"/>
        <v>0</v>
      </c>
      <c r="M30" s="249">
        <f t="shared" si="12"/>
        <v>0</v>
      </c>
      <c r="N30" s="249">
        <f t="shared" si="12"/>
        <v>0</v>
      </c>
      <c r="O30" s="249">
        <f t="shared" si="12"/>
        <v>0</v>
      </c>
      <c r="P30" s="250">
        <f t="shared" si="12"/>
        <v>0</v>
      </c>
    </row>
    <row r="31" spans="1:16" x14ac:dyDescent="0.45">
      <c r="A31" s="357"/>
      <c r="B31" s="432"/>
      <c r="C31" s="64"/>
      <c r="D31" s="65"/>
      <c r="E31" s="65"/>
      <c r="F31" s="65"/>
      <c r="G31" s="65"/>
      <c r="H31" s="247"/>
      <c r="I31" s="256">
        <f t="shared" si="10"/>
        <v>0</v>
      </c>
      <c r="J31" s="257"/>
      <c r="K31" s="248">
        <f t="shared" si="11"/>
        <v>0</v>
      </c>
      <c r="L31" s="249">
        <f t="shared" si="12"/>
        <v>0</v>
      </c>
      <c r="M31" s="249">
        <f t="shared" si="12"/>
        <v>0</v>
      </c>
      <c r="N31" s="249">
        <f t="shared" si="12"/>
        <v>0</v>
      </c>
      <c r="O31" s="249">
        <f t="shared" si="12"/>
        <v>0</v>
      </c>
      <c r="P31" s="250">
        <f t="shared" si="12"/>
        <v>0</v>
      </c>
    </row>
    <row r="32" spans="1:16" x14ac:dyDescent="0.45">
      <c r="A32" s="357"/>
      <c r="B32" s="432"/>
      <c r="C32" s="64"/>
      <c r="D32" s="65"/>
      <c r="E32" s="65"/>
      <c r="F32" s="65"/>
      <c r="G32" s="65"/>
      <c r="H32" s="247"/>
      <c r="I32" s="256">
        <f t="shared" si="10"/>
        <v>0</v>
      </c>
      <c r="J32" s="257"/>
      <c r="K32" s="248">
        <f t="shared" si="11"/>
        <v>0</v>
      </c>
      <c r="L32" s="249">
        <f t="shared" si="12"/>
        <v>0</v>
      </c>
      <c r="M32" s="249">
        <f t="shared" si="12"/>
        <v>0</v>
      </c>
      <c r="N32" s="249">
        <f t="shared" si="12"/>
        <v>0</v>
      </c>
      <c r="O32" s="249">
        <f t="shared" si="12"/>
        <v>0</v>
      </c>
      <c r="P32" s="250">
        <f t="shared" si="12"/>
        <v>0</v>
      </c>
    </row>
    <row r="33" spans="1:16" x14ac:dyDescent="0.45">
      <c r="A33" s="357"/>
      <c r="B33" s="432"/>
      <c r="C33" s="64"/>
      <c r="D33" s="65"/>
      <c r="E33" s="65"/>
      <c r="F33" s="65"/>
      <c r="G33" s="65"/>
      <c r="H33" s="247"/>
      <c r="I33" s="256">
        <f t="shared" si="10"/>
        <v>0</v>
      </c>
      <c r="J33" s="257"/>
      <c r="K33" s="248">
        <f t="shared" si="11"/>
        <v>0</v>
      </c>
      <c r="L33" s="249">
        <f t="shared" si="12"/>
        <v>0</v>
      </c>
      <c r="M33" s="249">
        <f t="shared" si="12"/>
        <v>0</v>
      </c>
      <c r="N33" s="249">
        <f t="shared" si="12"/>
        <v>0</v>
      </c>
      <c r="O33" s="249">
        <f t="shared" si="12"/>
        <v>0</v>
      </c>
      <c r="P33" s="250">
        <f t="shared" si="12"/>
        <v>0</v>
      </c>
    </row>
    <row r="34" spans="1:16" x14ac:dyDescent="0.45">
      <c r="A34" s="357"/>
      <c r="B34" s="432"/>
      <c r="C34" s="64"/>
      <c r="D34" s="65"/>
      <c r="E34" s="65"/>
      <c r="F34" s="65"/>
      <c r="G34" s="65"/>
      <c r="H34" s="247"/>
      <c r="I34" s="256">
        <f t="shared" si="10"/>
        <v>0</v>
      </c>
      <c r="J34" s="257"/>
      <c r="K34" s="248">
        <f t="shared" si="11"/>
        <v>0</v>
      </c>
      <c r="L34" s="249">
        <f t="shared" si="12"/>
        <v>0</v>
      </c>
      <c r="M34" s="249">
        <f t="shared" si="12"/>
        <v>0</v>
      </c>
      <c r="N34" s="249">
        <f t="shared" si="12"/>
        <v>0</v>
      </c>
      <c r="O34" s="249">
        <f t="shared" si="12"/>
        <v>0</v>
      </c>
      <c r="P34" s="250">
        <f t="shared" si="12"/>
        <v>0</v>
      </c>
    </row>
    <row r="35" spans="1:16" x14ac:dyDescent="0.45">
      <c r="A35" s="357"/>
      <c r="B35" s="432"/>
      <c r="C35" s="64"/>
      <c r="D35" s="65"/>
      <c r="E35" s="65"/>
      <c r="F35" s="65"/>
      <c r="G35" s="65"/>
      <c r="H35" s="247"/>
      <c r="I35" s="256">
        <f t="shared" ref="I35:I37" si="13">SUM(C35:H35)</f>
        <v>0</v>
      </c>
      <c r="J35" s="257"/>
      <c r="K35" s="248">
        <f t="shared" si="4"/>
        <v>0</v>
      </c>
      <c r="L35" s="249">
        <f t="shared" si="5"/>
        <v>0</v>
      </c>
      <c r="M35" s="249">
        <f t="shared" si="6"/>
        <v>0</v>
      </c>
      <c r="N35" s="249">
        <f t="shared" si="7"/>
        <v>0</v>
      </c>
      <c r="O35" s="249">
        <f t="shared" si="8"/>
        <v>0</v>
      </c>
      <c r="P35" s="250">
        <f t="shared" si="9"/>
        <v>0</v>
      </c>
    </row>
    <row r="36" spans="1:16" x14ac:dyDescent="0.45">
      <c r="A36" s="357"/>
      <c r="B36" s="432"/>
      <c r="C36" s="64"/>
      <c r="D36" s="65"/>
      <c r="E36" s="65"/>
      <c r="F36" s="65"/>
      <c r="G36" s="65"/>
      <c r="H36" s="247"/>
      <c r="I36" s="256">
        <f t="shared" si="13"/>
        <v>0</v>
      </c>
      <c r="J36" s="257"/>
      <c r="K36" s="248">
        <f t="shared" si="4"/>
        <v>0</v>
      </c>
      <c r="L36" s="249">
        <f t="shared" si="5"/>
        <v>0</v>
      </c>
      <c r="M36" s="249">
        <f t="shared" si="6"/>
        <v>0</v>
      </c>
      <c r="N36" s="249">
        <f t="shared" si="7"/>
        <v>0</v>
      </c>
      <c r="O36" s="249">
        <f t="shared" si="8"/>
        <v>0</v>
      </c>
      <c r="P36" s="250">
        <f t="shared" si="9"/>
        <v>0</v>
      </c>
    </row>
    <row r="37" spans="1:16" ht="17" thickBot="1" x14ac:dyDescent="0.5">
      <c r="A37" s="427"/>
      <c r="B37" s="433"/>
      <c r="C37" s="428"/>
      <c r="D37" s="429"/>
      <c r="E37" s="429"/>
      <c r="F37" s="429"/>
      <c r="G37" s="429"/>
      <c r="H37" s="430"/>
      <c r="I37" s="258">
        <f t="shared" si="13"/>
        <v>0</v>
      </c>
      <c r="J37" s="257"/>
      <c r="K37" s="259">
        <f t="shared" si="4"/>
        <v>0</v>
      </c>
      <c r="L37" s="260">
        <f t="shared" si="5"/>
        <v>0</v>
      </c>
      <c r="M37" s="260">
        <f t="shared" si="6"/>
        <v>0</v>
      </c>
      <c r="N37" s="260">
        <f t="shared" si="7"/>
        <v>0</v>
      </c>
      <c r="O37" s="260">
        <f t="shared" si="8"/>
        <v>0</v>
      </c>
      <c r="P37" s="261">
        <f t="shared" si="9"/>
        <v>0</v>
      </c>
    </row>
  </sheetData>
  <sheetProtection algorithmName="SHA-512" hashValue="378Xak1cCiZB4+ore99Pcomq6myTc+/YnvYDNwIVHhxWgwfxWTnU0gEixRbemWsJx/eeeVwHs0ymdSpHp8l/8Q==" saltValue="oSqGxFAFaP/chtWL2hX0fQ==" spinCount="100000" sheet="1" objects="1" scenarios="1" formatRows="0"/>
  <mergeCells count="17">
    <mergeCell ref="A1:P1"/>
    <mergeCell ref="A12:B12"/>
    <mergeCell ref="A7:B7"/>
    <mergeCell ref="A8:B8"/>
    <mergeCell ref="A9:B9"/>
    <mergeCell ref="A10:B10"/>
    <mergeCell ref="A11:B11"/>
    <mergeCell ref="A3:B3"/>
    <mergeCell ref="A4:B4"/>
    <mergeCell ref="A5:B5"/>
    <mergeCell ref="A6:B6"/>
    <mergeCell ref="A2:I2"/>
    <mergeCell ref="K27:P27"/>
    <mergeCell ref="K16:P16"/>
    <mergeCell ref="A13:B13"/>
    <mergeCell ref="A16:H16"/>
    <mergeCell ref="A27:H27"/>
  </mergeCells>
  <pageMargins left="0.25" right="0.25"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errorTitle="Attention" error="Vous devez choisir une entrée parmis la liste déroulante (en cliquant sur la flêche à droite de la cellule)._x000a_Cette liste peut être modifiée dans dans l'onglet &quot;1-Informations et paramétrages&quot;." xr:uid="{B2897853-E58E-4A04-AA94-DC46DD2F6106}">
          <x14:formula1>
            <xm:f>'1-Informations-paramètres '!$D$19:$D$33</xm:f>
          </x14:formula1>
          <xm:sqref>B28:B37</xm:sqref>
        </x14:dataValidation>
        <x14:dataValidation type="list" allowBlank="1" showErrorMessage="1" errorTitle="Saisie non conforme" error="Vous devez choisir une entrée parmis la liste déroulante (en cliquant sur la flêche à droite de la cellule)._x000a_Cette liste peut être modifiée dans dans l'onglet &quot;1-Informations et paramétrages&quot;." xr:uid="{AE32EA71-68BD-4E34-B73C-22AD0ED1759E}">
          <x14:formula1>
            <xm:f>'1-Informations-paramètres '!$D$51:$D$64</xm:f>
          </x14:formula1>
          <xm:sqref>B17:B26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4E33-C78B-455C-B7DD-8B660754E19F}">
  <sheetPr codeName="Feuil4">
    <pageSetUpPr fitToPage="1"/>
  </sheetPr>
  <dimension ref="A1:P61"/>
  <sheetViews>
    <sheetView zoomScale="80" zoomScaleNormal="80" workbookViewId="0">
      <selection activeCell="A23" sqref="A23"/>
    </sheetView>
  </sheetViews>
  <sheetFormatPr baseColWidth="10" defaultColWidth="11.54296875" defaultRowHeight="16" x14ac:dyDescent="0.45"/>
  <cols>
    <col min="1" max="1" width="54" style="39" customWidth="1"/>
    <col min="2" max="5" width="11.54296875" style="39" customWidth="1"/>
    <col min="6" max="6" width="8.453125" style="39" customWidth="1"/>
    <col min="7" max="12" width="11.54296875" style="39"/>
    <col min="13" max="13" width="2.7265625" style="39" customWidth="1"/>
    <col min="14" max="14" width="10.81640625" style="39" customWidth="1"/>
    <col min="15" max="15" width="1.453125" style="39" customWidth="1"/>
    <col min="16" max="16" width="10.7265625" style="39" customWidth="1"/>
    <col min="17" max="16384" width="11.54296875" style="39"/>
  </cols>
  <sheetData>
    <row r="1" spans="1:16" ht="21.5" thickBot="1" x14ac:dyDescent="0.6">
      <c r="A1" s="502" t="s">
        <v>13</v>
      </c>
      <c r="B1" s="503"/>
      <c r="C1" s="503"/>
      <c r="D1" s="503"/>
      <c r="E1" s="503"/>
      <c r="F1" s="503"/>
      <c r="G1" s="503"/>
      <c r="H1" s="503"/>
      <c r="I1" s="503"/>
      <c r="J1" s="503"/>
      <c r="K1" s="503"/>
      <c r="L1" s="503"/>
      <c r="M1" s="503"/>
      <c r="N1" s="503"/>
      <c r="O1" s="503"/>
      <c r="P1" s="503"/>
    </row>
    <row r="2" spans="1:16" ht="16.5" thickBot="1" x14ac:dyDescent="0.5">
      <c r="A2" s="523" t="str">
        <f>"Les montants ci-dessous sont exprimés " &amp; '1-Informations-paramètres '!C10</f>
        <v>Les montants ci-dessous sont exprimés en milliers d'euros</v>
      </c>
      <c r="B2" s="523"/>
      <c r="C2" s="523"/>
      <c r="D2" s="523"/>
      <c r="E2" s="523"/>
      <c r="F2" s="523"/>
      <c r="G2" s="523"/>
      <c r="H2" s="523"/>
      <c r="I2" s="523"/>
      <c r="J2" s="523"/>
      <c r="K2" s="523"/>
      <c r="L2" s="523"/>
      <c r="M2" s="523"/>
    </row>
    <row r="3" spans="1:16" ht="16.5" x14ac:dyDescent="0.45">
      <c r="A3" s="215" t="s">
        <v>42</v>
      </c>
      <c r="B3" s="216">
        <f>B14</f>
        <v>0</v>
      </c>
    </row>
    <row r="4" spans="1:16" x14ac:dyDescent="0.45">
      <c r="A4" s="111" t="s">
        <v>113</v>
      </c>
      <c r="B4" s="109"/>
      <c r="C4" s="391" t="s">
        <v>121</v>
      </c>
      <c r="D4" s="67"/>
    </row>
    <row r="5" spans="1:16" ht="16.5" thickBot="1" x14ac:dyDescent="0.5">
      <c r="A5" s="112" t="s">
        <v>114</v>
      </c>
      <c r="B5" s="110"/>
      <c r="C5" s="391" t="s">
        <v>122</v>
      </c>
      <c r="D5" s="67"/>
    </row>
    <row r="6" spans="1:16" ht="19.149999999999999" customHeight="1" thickBot="1" x14ac:dyDescent="0.5"/>
    <row r="7" spans="1:16" ht="16.5" x14ac:dyDescent="0.45">
      <c r="A7" s="229" t="s">
        <v>100</v>
      </c>
      <c r="B7" s="217">
        <f>B3</f>
        <v>0</v>
      </c>
      <c r="C7" s="217">
        <f>B7+1</f>
        <v>1</v>
      </c>
      <c r="D7" s="217">
        <f>C7+1</f>
        <v>2</v>
      </c>
      <c r="E7" s="218">
        <f>D7+1</f>
        <v>3</v>
      </c>
    </row>
    <row r="8" spans="1:16" x14ac:dyDescent="0.45">
      <c r="A8" s="113" t="s">
        <v>43</v>
      </c>
      <c r="B8" s="117"/>
      <c r="C8" s="117"/>
      <c r="D8" s="117"/>
      <c r="E8" s="118"/>
      <c r="J8" s="41"/>
    </row>
    <row r="9" spans="1:16" x14ac:dyDescent="0.45">
      <c r="A9" s="113" t="s">
        <v>109</v>
      </c>
      <c r="B9" s="117"/>
      <c r="C9" s="117"/>
      <c r="D9" s="117"/>
      <c r="E9" s="118"/>
      <c r="F9" s="67"/>
      <c r="H9" s="67"/>
    </row>
    <row r="10" spans="1:16" ht="17" thickBot="1" x14ac:dyDescent="0.5">
      <c r="A10" s="114" t="s">
        <v>44</v>
      </c>
      <c r="B10" s="115">
        <f>B8-B9</f>
        <v>0</v>
      </c>
      <c r="C10" s="115">
        <f>C8-C9</f>
        <v>0</v>
      </c>
      <c r="D10" s="115">
        <f>D8-D9</f>
        <v>0</v>
      </c>
      <c r="E10" s="116">
        <f>E8-E9</f>
        <v>0</v>
      </c>
      <c r="F10" s="67"/>
      <c r="H10" s="67"/>
    </row>
    <row r="11" spans="1:16" ht="16.5" thickBot="1" x14ac:dyDescent="0.5">
      <c r="B11" s="67"/>
      <c r="N11" s="41"/>
    </row>
    <row r="12" spans="1:16" ht="16.5" customHeight="1" thickBot="1" x14ac:dyDescent="0.5">
      <c r="B12" s="479" t="s">
        <v>25</v>
      </c>
      <c r="C12" s="480"/>
      <c r="D12" s="480"/>
      <c r="E12" s="481"/>
      <c r="G12" s="482" t="s">
        <v>26</v>
      </c>
      <c r="H12" s="483"/>
      <c r="I12" s="483"/>
      <c r="J12" s="483"/>
      <c r="K12" s="483"/>
      <c r="L12" s="484"/>
    </row>
    <row r="13" spans="1:16" ht="3" hidden="1" customHeight="1" thickBot="1" x14ac:dyDescent="0.5"/>
    <row r="14" spans="1:16" ht="32.25" customHeight="1" x14ac:dyDescent="0.45">
      <c r="A14" s="190" t="s">
        <v>45</v>
      </c>
      <c r="B14" s="193">
        <f>'2-Section de Fonctionnement'!C28</f>
        <v>0</v>
      </c>
      <c r="C14" s="193">
        <f t="shared" ref="C14:J14" si="0">B14+1</f>
        <v>1</v>
      </c>
      <c r="D14" s="193">
        <f t="shared" si="0"/>
        <v>2</v>
      </c>
      <c r="E14" s="191">
        <f t="shared" si="0"/>
        <v>3</v>
      </c>
      <c r="F14" s="524" t="s">
        <v>46</v>
      </c>
      <c r="G14" s="199">
        <f>E14+1</f>
        <v>4</v>
      </c>
      <c r="H14" s="192">
        <f t="shared" si="0"/>
        <v>5</v>
      </c>
      <c r="I14" s="193">
        <f t="shared" si="0"/>
        <v>6</v>
      </c>
      <c r="J14" s="193">
        <f t="shared" si="0"/>
        <v>7</v>
      </c>
      <c r="K14" s="193">
        <f>J14+1</f>
        <v>8</v>
      </c>
      <c r="L14" s="194">
        <f>K14+1</f>
        <v>9</v>
      </c>
    </row>
    <row r="15" spans="1:16" ht="16.5" x14ac:dyDescent="0.45">
      <c r="A15" s="92" t="s">
        <v>47</v>
      </c>
      <c r="B15" s="76"/>
      <c r="C15" s="76"/>
      <c r="D15" s="76"/>
      <c r="E15" s="77"/>
      <c r="F15" s="525"/>
      <c r="G15" s="368">
        <f t="shared" ref="G15:L15" si="1">SUM(G16:G25)</f>
        <v>0</v>
      </c>
      <c r="H15" s="369">
        <f t="shared" si="1"/>
        <v>0</v>
      </c>
      <c r="I15" s="369">
        <f t="shared" si="1"/>
        <v>0</v>
      </c>
      <c r="J15" s="369">
        <f t="shared" si="1"/>
        <v>0</v>
      </c>
      <c r="K15" s="369">
        <f t="shared" si="1"/>
        <v>0</v>
      </c>
      <c r="L15" s="370">
        <f t="shared" si="1"/>
        <v>0</v>
      </c>
    </row>
    <row r="16" spans="1:16" x14ac:dyDescent="0.45">
      <c r="A16" s="406" t="s">
        <v>14</v>
      </c>
      <c r="B16" s="65"/>
      <c r="C16" s="65"/>
      <c r="D16" s="65"/>
      <c r="E16" s="78"/>
      <c r="F16" s="409" t="s">
        <v>31</v>
      </c>
      <c r="G16" s="56">
        <f>'5-Recours à la dette '!F49</f>
        <v>0</v>
      </c>
      <c r="H16" s="57">
        <f>'5-Recours à la dette '!G49</f>
        <v>0</v>
      </c>
      <c r="I16" s="57">
        <f>'5-Recours à la dette '!H49</f>
        <v>0</v>
      </c>
      <c r="J16" s="57">
        <f>'5-Recours à la dette '!I49</f>
        <v>0</v>
      </c>
      <c r="K16" s="57">
        <f>'5-Recours à la dette '!J49</f>
        <v>0</v>
      </c>
      <c r="L16" s="51">
        <f>'5-Recours à la dette '!K49</f>
        <v>0</v>
      </c>
    </row>
    <row r="17" spans="1:14" x14ac:dyDescent="0.45">
      <c r="A17" s="123"/>
      <c r="B17" s="65"/>
      <c r="C17" s="65"/>
      <c r="D17" s="65"/>
      <c r="E17" s="78"/>
      <c r="F17" s="371"/>
      <c r="G17" s="134"/>
      <c r="H17" s="132"/>
      <c r="I17" s="132"/>
      <c r="J17" s="132"/>
      <c r="K17" s="132"/>
      <c r="L17" s="133"/>
    </row>
    <row r="18" spans="1:14" x14ac:dyDescent="0.45">
      <c r="A18" s="123"/>
      <c r="B18" s="65"/>
      <c r="C18" s="65"/>
      <c r="D18" s="65"/>
      <c r="E18" s="78"/>
      <c r="F18" s="371"/>
      <c r="G18" s="134"/>
      <c r="H18" s="132"/>
      <c r="I18" s="132"/>
      <c r="J18" s="132"/>
      <c r="K18" s="132"/>
      <c r="L18" s="133"/>
    </row>
    <row r="19" spans="1:14" x14ac:dyDescent="0.45">
      <c r="A19" s="123"/>
      <c r="B19" s="65"/>
      <c r="C19" s="65"/>
      <c r="D19" s="65"/>
      <c r="E19" s="78"/>
      <c r="F19" s="371"/>
      <c r="G19" s="134"/>
      <c r="H19" s="132"/>
      <c r="I19" s="132"/>
      <c r="J19" s="132"/>
      <c r="K19" s="132"/>
      <c r="L19" s="133"/>
    </row>
    <row r="20" spans="1:14" x14ac:dyDescent="0.45">
      <c r="A20" s="123"/>
      <c r="B20" s="65"/>
      <c r="C20" s="65"/>
      <c r="D20" s="65"/>
      <c r="E20" s="78"/>
      <c r="F20" s="371"/>
      <c r="G20" s="134"/>
      <c r="H20" s="132"/>
      <c r="I20" s="132"/>
      <c r="J20" s="132"/>
      <c r="K20" s="132"/>
      <c r="L20" s="133"/>
      <c r="M20" s="41"/>
    </row>
    <row r="21" spans="1:14" x14ac:dyDescent="0.45">
      <c r="A21" s="123"/>
      <c r="B21" s="65"/>
      <c r="C21" s="65"/>
      <c r="D21" s="65"/>
      <c r="E21" s="78"/>
      <c r="F21" s="371"/>
      <c r="G21" s="134"/>
      <c r="H21" s="132"/>
      <c r="I21" s="132"/>
      <c r="J21" s="132"/>
      <c r="K21" s="132"/>
      <c r="L21" s="133"/>
    </row>
    <row r="22" spans="1:14" x14ac:dyDescent="0.45">
      <c r="A22" s="123"/>
      <c r="B22" s="65"/>
      <c r="C22" s="65"/>
      <c r="D22" s="65"/>
      <c r="E22" s="78"/>
      <c r="F22" s="371"/>
      <c r="G22" s="134"/>
      <c r="H22" s="132"/>
      <c r="I22" s="132"/>
      <c r="J22" s="132"/>
      <c r="K22" s="132"/>
      <c r="L22" s="133"/>
      <c r="N22" s="41"/>
    </row>
    <row r="23" spans="1:14" x14ac:dyDescent="0.45">
      <c r="A23" s="123"/>
      <c r="B23" s="65"/>
      <c r="C23" s="65"/>
      <c r="D23" s="65"/>
      <c r="E23" s="78"/>
      <c r="F23" s="371"/>
      <c r="G23" s="134"/>
      <c r="H23" s="132"/>
      <c r="I23" s="132"/>
      <c r="J23" s="132"/>
      <c r="K23" s="132"/>
      <c r="L23" s="133"/>
    </row>
    <row r="24" spans="1:14" x14ac:dyDescent="0.45">
      <c r="A24" s="123"/>
      <c r="B24" s="65"/>
      <c r="C24" s="65"/>
      <c r="D24" s="65"/>
      <c r="E24" s="78"/>
      <c r="F24" s="371"/>
      <c r="G24" s="134"/>
      <c r="H24" s="132"/>
      <c r="I24" s="132"/>
      <c r="J24" s="132"/>
      <c r="K24" s="132"/>
      <c r="L24" s="133"/>
    </row>
    <row r="25" spans="1:14" ht="16.5" thickBot="1" x14ac:dyDescent="0.5">
      <c r="A25" s="367" t="s">
        <v>48</v>
      </c>
      <c r="B25" s="159">
        <f>B15-SUM(B16:B24)</f>
        <v>0</v>
      </c>
      <c r="C25" s="159">
        <f>C15-SUM(C16:C24)</f>
        <v>0</v>
      </c>
      <c r="D25" s="159">
        <f>D15-SUM(D16:D24)</f>
        <v>0</v>
      </c>
      <c r="E25" s="160">
        <f>E15-SUM(E16:E24)</f>
        <v>0</v>
      </c>
      <c r="F25" s="372" t="s">
        <v>30</v>
      </c>
      <c r="G25" s="161"/>
      <c r="H25" s="162"/>
      <c r="I25" s="162"/>
      <c r="J25" s="162"/>
      <c r="K25" s="162"/>
      <c r="L25" s="163"/>
    </row>
    <row r="26" spans="1:14" ht="6" hidden="1" customHeight="1" x14ac:dyDescent="0.45">
      <c r="A26" s="522"/>
      <c r="B26" s="522"/>
      <c r="C26" s="522"/>
      <c r="D26" s="522"/>
      <c r="E26" s="522"/>
      <c r="F26" s="522"/>
      <c r="G26" s="522"/>
      <c r="H26" s="522"/>
      <c r="I26" s="522"/>
      <c r="J26" s="522"/>
      <c r="K26" s="522"/>
      <c r="M26" s="41">
        <f>SUM(G17:K17)</f>
        <v>0</v>
      </c>
      <c r="N26" s="39">
        <f>SUM(N15:N18)</f>
        <v>0</v>
      </c>
    </row>
    <row r="27" spans="1:14" ht="17" thickBot="1" x14ac:dyDescent="0.5">
      <c r="A27" s="79"/>
      <c r="B27" s="79"/>
      <c r="C27" s="79"/>
      <c r="D27" s="79"/>
      <c r="E27" s="79"/>
      <c r="F27" s="79"/>
      <c r="G27" s="79"/>
      <c r="H27" s="79"/>
      <c r="I27" s="79"/>
      <c r="J27" s="79"/>
      <c r="K27" s="79"/>
      <c r="M27" s="41"/>
    </row>
    <row r="28" spans="1:14" ht="28.9" customHeight="1" x14ac:dyDescent="0.45">
      <c r="A28" s="197" t="s">
        <v>49</v>
      </c>
      <c r="B28" s="195">
        <f>B7</f>
        <v>0</v>
      </c>
      <c r="C28" s="195">
        <f t="shared" ref="C28:J28" si="2">B28+1</f>
        <v>1</v>
      </c>
      <c r="D28" s="195">
        <f t="shared" si="2"/>
        <v>2</v>
      </c>
      <c r="E28" s="200">
        <f t="shared" si="2"/>
        <v>3</v>
      </c>
      <c r="F28" s="201"/>
      <c r="G28" s="201">
        <f>E28+1</f>
        <v>4</v>
      </c>
      <c r="H28" s="198">
        <f t="shared" si="2"/>
        <v>5</v>
      </c>
      <c r="I28" s="195">
        <f t="shared" si="2"/>
        <v>6</v>
      </c>
      <c r="J28" s="195">
        <f t="shared" si="2"/>
        <v>7</v>
      </c>
      <c r="K28" s="195">
        <f>J28+1</f>
        <v>8</v>
      </c>
      <c r="L28" s="196">
        <f>K28+1</f>
        <v>9</v>
      </c>
    </row>
    <row r="29" spans="1:14" ht="16.5" x14ac:dyDescent="0.45">
      <c r="A29" s="71" t="s">
        <v>43</v>
      </c>
      <c r="B29" s="85">
        <f>B10</f>
        <v>0</v>
      </c>
      <c r="C29" s="85">
        <f t="shared" ref="C29:E29" si="3">C10</f>
        <v>0</v>
      </c>
      <c r="D29" s="85">
        <f t="shared" si="3"/>
        <v>0</v>
      </c>
      <c r="E29" s="85">
        <f t="shared" si="3"/>
        <v>0</v>
      </c>
      <c r="G29" s="80">
        <f t="shared" ref="G29:L29" si="4">SUM(G30:G39)</f>
        <v>0</v>
      </c>
      <c r="H29" s="68">
        <f t="shared" si="4"/>
        <v>0</v>
      </c>
      <c r="I29" s="69">
        <f t="shared" si="4"/>
        <v>0</v>
      </c>
      <c r="J29" s="69">
        <f t="shared" si="4"/>
        <v>0</v>
      </c>
      <c r="K29" s="69">
        <f t="shared" si="4"/>
        <v>0</v>
      </c>
      <c r="L29" s="70">
        <f t="shared" si="4"/>
        <v>0</v>
      </c>
      <c r="M29" s="41"/>
    </row>
    <row r="30" spans="1:14" ht="15" customHeight="1" x14ac:dyDescent="0.45">
      <c r="A30" s="405" t="s">
        <v>15</v>
      </c>
      <c r="B30" s="65"/>
      <c r="C30" s="65"/>
      <c r="D30" s="65"/>
      <c r="E30" s="78"/>
      <c r="G30" s="81">
        <f>(SUMIFS(E16:E25,$F$16:$F$25,"Oui")*'1-Informations-paramètres '!C13)</f>
        <v>0</v>
      </c>
      <c r="H30" s="57">
        <f>(SUMIFS(G16:G25,$F$16:$F$25,"Oui")*'1-Informations-paramètres '!C13)</f>
        <v>0</v>
      </c>
      <c r="I30" s="57">
        <f>(SUMIFS(H16:H25,$F$16:$F$25,"Oui")*'1-Informations-paramètres '!$C$13)</f>
        <v>0</v>
      </c>
      <c r="J30" s="57">
        <f>(SUMIFS(I16:I25,$F$16:$F$25,"Oui")*'1-Informations-paramètres '!$C$13)</f>
        <v>0</v>
      </c>
      <c r="K30" s="57">
        <f>(SUMIFS(J16:J25,$F$16:$F$25,"Oui")*'1-Informations-paramètres '!$C$13)</f>
        <v>0</v>
      </c>
      <c r="L30" s="51">
        <f>(SUMIFS(K16:K25,$F$16:$F$25,"Oui")*'1-Informations-paramètres '!$C$13)</f>
        <v>0</v>
      </c>
    </row>
    <row r="31" spans="1:14" ht="15" customHeight="1" x14ac:dyDescent="0.45">
      <c r="A31" s="357"/>
      <c r="B31" s="65"/>
      <c r="C31" s="65"/>
      <c r="D31" s="65"/>
      <c r="E31" s="78"/>
      <c r="G31" s="131"/>
      <c r="H31" s="132"/>
      <c r="I31" s="132"/>
      <c r="J31" s="132"/>
      <c r="K31" s="132"/>
      <c r="L31" s="133"/>
    </row>
    <row r="32" spans="1:14" ht="15" customHeight="1" x14ac:dyDescent="0.45">
      <c r="A32" s="357"/>
      <c r="B32" s="65"/>
      <c r="C32" s="65"/>
      <c r="D32" s="65"/>
      <c r="E32" s="78"/>
      <c r="G32" s="131"/>
      <c r="H32" s="132"/>
      <c r="I32" s="132"/>
      <c r="J32" s="132"/>
      <c r="K32" s="132"/>
      <c r="L32" s="133"/>
      <c r="N32" s="41"/>
    </row>
    <row r="33" spans="1:16" ht="15" customHeight="1" x14ac:dyDescent="0.45">
      <c r="A33" s="357"/>
      <c r="B33" s="65"/>
      <c r="C33" s="65"/>
      <c r="D33" s="65"/>
      <c r="E33" s="78"/>
      <c r="G33" s="131"/>
      <c r="H33" s="132"/>
      <c r="I33" s="132"/>
      <c r="J33" s="132"/>
      <c r="K33" s="132"/>
      <c r="L33" s="133"/>
    </row>
    <row r="34" spans="1:16" ht="15" customHeight="1" x14ac:dyDescent="0.45">
      <c r="A34" s="357"/>
      <c r="B34" s="65"/>
      <c r="C34" s="65"/>
      <c r="D34" s="65"/>
      <c r="E34" s="78"/>
      <c r="G34" s="131"/>
      <c r="H34" s="132"/>
      <c r="I34" s="132"/>
      <c r="J34" s="132"/>
      <c r="K34" s="132"/>
      <c r="L34" s="133"/>
    </row>
    <row r="35" spans="1:16" ht="15" customHeight="1" x14ac:dyDescent="0.45">
      <c r="A35" s="357"/>
      <c r="B35" s="65"/>
      <c r="C35" s="65"/>
      <c r="D35" s="65"/>
      <c r="E35" s="78"/>
      <c r="G35" s="131"/>
      <c r="H35" s="132"/>
      <c r="I35" s="132"/>
      <c r="J35" s="132"/>
      <c r="K35" s="132"/>
      <c r="L35" s="133"/>
    </row>
    <row r="36" spans="1:16" ht="15" customHeight="1" x14ac:dyDescent="0.45">
      <c r="A36" s="357"/>
      <c r="B36" s="65"/>
      <c r="C36" s="65"/>
      <c r="D36" s="65"/>
      <c r="E36" s="78"/>
      <c r="G36" s="131"/>
      <c r="H36" s="132"/>
      <c r="I36" s="132"/>
      <c r="J36" s="132"/>
      <c r="K36" s="132"/>
      <c r="L36" s="133"/>
      <c r="M36" s="41"/>
    </row>
    <row r="37" spans="1:16" ht="15" customHeight="1" x14ac:dyDescent="0.45">
      <c r="A37" s="357"/>
      <c r="B37" s="65"/>
      <c r="C37" s="65"/>
      <c r="D37" s="65"/>
      <c r="E37" s="78"/>
      <c r="G37" s="131"/>
      <c r="H37" s="132"/>
      <c r="I37" s="132"/>
      <c r="J37" s="132"/>
      <c r="K37" s="132"/>
      <c r="L37" s="133"/>
    </row>
    <row r="38" spans="1:16" ht="15" customHeight="1" x14ac:dyDescent="0.45">
      <c r="A38" s="407" t="s">
        <v>16</v>
      </c>
      <c r="B38" s="65"/>
      <c r="C38" s="65"/>
      <c r="D38" s="65"/>
      <c r="E38" s="78"/>
      <c r="G38" s="82"/>
      <c r="H38" s="83"/>
      <c r="I38" s="83"/>
      <c r="J38" s="83"/>
      <c r="K38" s="83"/>
      <c r="L38" s="84"/>
    </row>
    <row r="39" spans="1:16" ht="15.65" customHeight="1" thickBot="1" x14ac:dyDescent="0.5">
      <c r="A39" s="164" t="s">
        <v>18</v>
      </c>
      <c r="B39" s="159">
        <f>B29-SUM(B30:B38)</f>
        <v>0</v>
      </c>
      <c r="C39" s="159">
        <f>C29-SUM(C30:C38)</f>
        <v>0</v>
      </c>
      <c r="D39" s="159">
        <f>D29-SUM(D30:D38)</f>
        <v>0</v>
      </c>
      <c r="E39" s="160">
        <f>E29-SUM(E30:E38)</f>
        <v>0</v>
      </c>
      <c r="F39" s="165"/>
      <c r="G39" s="166"/>
      <c r="H39" s="162"/>
      <c r="I39" s="162"/>
      <c r="J39" s="162"/>
      <c r="K39" s="162"/>
      <c r="L39" s="163"/>
    </row>
    <row r="40" spans="1:16" ht="11.5" customHeight="1" thickBot="1" x14ac:dyDescent="0.5"/>
    <row r="41" spans="1:16" ht="17.5" thickBot="1" x14ac:dyDescent="0.5">
      <c r="A41" s="41"/>
      <c r="C41" s="519" t="s">
        <v>50</v>
      </c>
      <c r="D41" s="520"/>
      <c r="E41" s="521"/>
      <c r="F41" s="142"/>
      <c r="G41" s="72">
        <f t="shared" ref="G41:L41" si="5">G48</f>
        <v>0</v>
      </c>
      <c r="H41" s="72">
        <f t="shared" si="5"/>
        <v>0</v>
      </c>
      <c r="I41" s="73">
        <f t="shared" si="5"/>
        <v>0</v>
      </c>
      <c r="J41" s="72">
        <f t="shared" si="5"/>
        <v>0</v>
      </c>
      <c r="K41" s="72">
        <f t="shared" si="5"/>
        <v>0</v>
      </c>
      <c r="L41" s="74">
        <f t="shared" si="5"/>
        <v>0</v>
      </c>
      <c r="M41" s="41"/>
    </row>
    <row r="42" spans="1:16" ht="16.5" thickBot="1" x14ac:dyDescent="0.5"/>
    <row r="43" spans="1:16" ht="16.5" hidden="1" thickBot="1" x14ac:dyDescent="0.5"/>
    <row r="44" spans="1:16" ht="32.25" customHeight="1" x14ac:dyDescent="0.45">
      <c r="A44" s="262" t="s">
        <v>111</v>
      </c>
      <c r="B44" s="230">
        <f>B28</f>
        <v>0</v>
      </c>
      <c r="C44" s="230">
        <f t="shared" ref="C44:K44" si="6">C28</f>
        <v>1</v>
      </c>
      <c r="D44" s="230">
        <f t="shared" si="6"/>
        <v>2</v>
      </c>
      <c r="E44" s="230">
        <f t="shared" si="6"/>
        <v>3</v>
      </c>
      <c r="F44" s="230"/>
      <c r="G44" s="230">
        <f t="shared" si="6"/>
        <v>4</v>
      </c>
      <c r="H44" s="230">
        <f t="shared" si="6"/>
        <v>5</v>
      </c>
      <c r="I44" s="230">
        <f t="shared" si="6"/>
        <v>6</v>
      </c>
      <c r="J44" s="230">
        <f t="shared" si="6"/>
        <v>7</v>
      </c>
      <c r="K44" s="230">
        <f t="shared" si="6"/>
        <v>8</v>
      </c>
      <c r="L44" s="231">
        <f>L28</f>
        <v>9</v>
      </c>
      <c r="N44" s="517" t="str">
        <f>"Evolution " &amp;B44 &amp;"/" &amp;E44</f>
        <v>Evolution 0/3</v>
      </c>
      <c r="P44" s="517" t="str">
        <f>"Evolution " &amp;'1-Informations-paramètres '!C48 &amp;"/" &amp;'1-Informations-paramètres '!C49</f>
        <v>Evolution /</v>
      </c>
    </row>
    <row r="45" spans="1:16" ht="21.75" customHeight="1" x14ac:dyDescent="0.45">
      <c r="A45" s="514" t="s">
        <v>51</v>
      </c>
      <c r="B45" s="515"/>
      <c r="C45" s="515"/>
      <c r="D45" s="515"/>
      <c r="E45" s="515"/>
      <c r="F45" s="515"/>
      <c r="G45" s="515"/>
      <c r="H45" s="515"/>
      <c r="I45" s="515"/>
      <c r="J45" s="515"/>
      <c r="K45" s="515"/>
      <c r="L45" s="516"/>
      <c r="N45" s="518"/>
      <c r="P45" s="518"/>
    </row>
    <row r="46" spans="1:16" ht="15" customHeight="1" x14ac:dyDescent="0.45">
      <c r="A46" s="312" t="s">
        <v>52</v>
      </c>
      <c r="B46" s="57">
        <f>-B4+B5+'2-Section de Fonctionnement'!B5-'2-Section de Fonctionnement'!B4+B9</f>
        <v>0</v>
      </c>
      <c r="C46" s="57">
        <f>B49</f>
        <v>0</v>
      </c>
      <c r="D46" s="56">
        <f t="shared" ref="D46:J46" si="7">C49</f>
        <v>0</v>
      </c>
      <c r="E46" s="313">
        <f t="shared" si="7"/>
        <v>0</v>
      </c>
      <c r="G46" s="318">
        <f>E49</f>
        <v>0</v>
      </c>
      <c r="H46" s="56">
        <f t="shared" si="7"/>
        <v>0</v>
      </c>
      <c r="I46" s="57">
        <f t="shared" si="7"/>
        <v>0</v>
      </c>
      <c r="J46" s="57">
        <f t="shared" si="7"/>
        <v>0</v>
      </c>
      <c r="K46" s="57">
        <f>J49</f>
        <v>0</v>
      </c>
      <c r="L46" s="52">
        <f>K49</f>
        <v>0</v>
      </c>
      <c r="N46" s="91">
        <f>IFERROR((E46-B46)/B46,0)</f>
        <v>0</v>
      </c>
      <c r="P46" s="91">
        <f>-IFERROR((INDEX(B46:L46, MATCH('1-Informations-paramètres '!C$48, $B$14:$L$14, 0)) - INDEX(B46:L46, MATCH('1-Informations-paramètres '!C$49, $B$14:$L$14, 0))) / INDEX(B46:E46, MATCH('1-Informations-paramètres '!C$48, $B$14:$L$14, 0)), "0")</f>
        <v>0</v>
      </c>
    </row>
    <row r="47" spans="1:16" ht="15" customHeight="1" x14ac:dyDescent="0.45">
      <c r="A47" s="312" t="s">
        <v>53</v>
      </c>
      <c r="B47" s="57">
        <f>(B15+'2-Section de Fonctionnement'!C10)-('2-Section de Fonctionnement'!C29+'4-Section d''Investissement'!B29-B38)</f>
        <v>0</v>
      </c>
      <c r="C47" s="57">
        <f>(C15+'2-Section de Fonctionnement'!D10)-('2-Section de Fonctionnement'!D29+'4-Section d''Investissement'!C29-C38)</f>
        <v>0</v>
      </c>
      <c r="D47" s="57">
        <f>(D15+'2-Section de Fonctionnement'!E10)-('2-Section de Fonctionnement'!E29+'4-Section d''Investissement'!D29-D38)</f>
        <v>0</v>
      </c>
      <c r="E47" s="314">
        <f>(E15+'2-Section de Fonctionnement'!F10)-('2-Section de Fonctionnement'!F29+'4-Section d''Investissement'!E29-E38)</f>
        <v>0</v>
      </c>
      <c r="G47" s="81">
        <f>(G15+'2-Section de Fonctionnement'!H10)-('2-Section de Fonctionnement'!H29+'4-Section d''Investissement'!G29)</f>
        <v>0</v>
      </c>
      <c r="H47" s="57">
        <f>(H15+'2-Section de Fonctionnement'!I10)-('2-Section de Fonctionnement'!I29+'4-Section d''Investissement'!H29)</f>
        <v>0</v>
      </c>
      <c r="I47" s="57">
        <f>(I15+'2-Section de Fonctionnement'!J10)-('2-Section de Fonctionnement'!J29+'4-Section d''Investissement'!I29)</f>
        <v>0</v>
      </c>
      <c r="J47" s="57">
        <f>(J15+'2-Section de Fonctionnement'!K10)-('2-Section de Fonctionnement'!K29+'4-Section d''Investissement'!J29)</f>
        <v>0</v>
      </c>
      <c r="K47" s="57">
        <f>(K15+'2-Section de Fonctionnement'!L10)-('2-Section de Fonctionnement'!L29+'4-Section d''Investissement'!K29)</f>
        <v>0</v>
      </c>
      <c r="L47" s="51">
        <f>(L15+'2-Section de Fonctionnement'!M10)-('2-Section de Fonctionnement'!M29+'4-Section d''Investissement'!L29)</f>
        <v>0</v>
      </c>
      <c r="N47" s="264"/>
      <c r="P47" s="264"/>
    </row>
    <row r="48" spans="1:16" ht="15" customHeight="1" x14ac:dyDescent="0.45">
      <c r="A48" s="312" t="s">
        <v>54</v>
      </c>
      <c r="B48" s="57">
        <f>B38</f>
        <v>0</v>
      </c>
      <c r="C48" s="57">
        <f>C38</f>
        <v>0</v>
      </c>
      <c r="D48" s="57">
        <f>D38</f>
        <v>0</v>
      </c>
      <c r="E48" s="314">
        <f>E38</f>
        <v>0</v>
      </c>
      <c r="G48" s="81">
        <f>'5-Recours à la dette '!F48</f>
        <v>0</v>
      </c>
      <c r="H48" s="57">
        <f>'5-Recours à la dette '!G48</f>
        <v>0</v>
      </c>
      <c r="I48" s="57">
        <f>'5-Recours à la dette '!H48</f>
        <v>0</v>
      </c>
      <c r="J48" s="57">
        <f>'5-Recours à la dette '!I48</f>
        <v>0</v>
      </c>
      <c r="K48" s="57">
        <f>'5-Recours à la dette '!J48</f>
        <v>0</v>
      </c>
      <c r="L48" s="51">
        <f>'5-Recours à la dette '!K48</f>
        <v>0</v>
      </c>
      <c r="N48" s="264"/>
      <c r="P48" s="264"/>
    </row>
    <row r="49" spans="1:16" ht="15" customHeight="1" x14ac:dyDescent="0.45">
      <c r="A49" s="312" t="s">
        <v>55</v>
      </c>
      <c r="B49" s="57">
        <f>B46-B47+B48</f>
        <v>0</v>
      </c>
      <c r="C49" s="57">
        <f>C46-C47+C48</f>
        <v>0</v>
      </c>
      <c r="D49" s="57">
        <f t="shared" ref="D49:K49" si="8">D46-D47+D48</f>
        <v>0</v>
      </c>
      <c r="E49" s="314">
        <f>E46-E47+E48</f>
        <v>0</v>
      </c>
      <c r="G49" s="81">
        <f t="shared" si="8"/>
        <v>0</v>
      </c>
      <c r="H49" s="57">
        <f t="shared" si="8"/>
        <v>0</v>
      </c>
      <c r="I49" s="57">
        <f t="shared" si="8"/>
        <v>0</v>
      </c>
      <c r="J49" s="57">
        <f t="shared" si="8"/>
        <v>0</v>
      </c>
      <c r="K49" s="57">
        <f t="shared" si="8"/>
        <v>0</v>
      </c>
      <c r="L49" s="51">
        <f>L46-L47+L48</f>
        <v>0</v>
      </c>
      <c r="N49" s="91">
        <f t="shared" ref="N49:N55" si="9">IFERROR((E49-B49)/B49,0)</f>
        <v>0</v>
      </c>
      <c r="P49" s="91">
        <f>-IFERROR((INDEX(B49:L49, MATCH('1-Informations-paramètres '!C$48, $B$14:$L$14, 0)) - INDEX(B49:L49, MATCH('1-Informations-paramètres '!C$49, $B$14:$L$14, 0))) / INDEX(B49:E49, MATCH('1-Informations-paramètres '!C$48, $B$14:$L$14, 0)), "0")</f>
        <v>0</v>
      </c>
    </row>
    <row r="50" spans="1:16" ht="15" customHeight="1" x14ac:dyDescent="0.45">
      <c r="A50" s="315" t="s">
        <v>56</v>
      </c>
      <c r="B50" s="316">
        <f>B49-B48</f>
        <v>0</v>
      </c>
      <c r="C50" s="316">
        <f t="shared" ref="C50:L50" si="10">C49-C48</f>
        <v>0</v>
      </c>
      <c r="D50" s="316">
        <f t="shared" si="10"/>
        <v>0</v>
      </c>
      <c r="E50" s="317">
        <f t="shared" si="10"/>
        <v>0</v>
      </c>
      <c r="F50" s="89"/>
      <c r="G50" s="319">
        <f t="shared" si="10"/>
        <v>0</v>
      </c>
      <c r="H50" s="316">
        <f t="shared" si="10"/>
        <v>0</v>
      </c>
      <c r="I50" s="316">
        <f t="shared" si="10"/>
        <v>0</v>
      </c>
      <c r="J50" s="316">
        <f t="shared" si="10"/>
        <v>0</v>
      </c>
      <c r="K50" s="316">
        <f t="shared" si="10"/>
        <v>0</v>
      </c>
      <c r="L50" s="320">
        <f t="shared" si="10"/>
        <v>0</v>
      </c>
      <c r="N50" s="91">
        <f t="shared" si="9"/>
        <v>0</v>
      </c>
      <c r="P50" s="91">
        <f>-IFERROR((INDEX(B50:L50, MATCH('1-Informations-paramètres '!C$48, $B$14:$L$14, 0)) - INDEX(B50:L50, MATCH('1-Informations-paramètres '!C$49, $B$14:$L$14, 0))) / INDEX(B50:E50, MATCH('1-Informations-paramètres '!C$48, $B$14:$L$14, 0)), "0")</f>
        <v>0</v>
      </c>
    </row>
    <row r="51" spans="1:16" ht="15" customHeight="1" x14ac:dyDescent="0.45">
      <c r="A51" s="511" t="s">
        <v>57</v>
      </c>
      <c r="B51" s="512"/>
      <c r="C51" s="512"/>
      <c r="D51" s="512"/>
      <c r="E51" s="512"/>
      <c r="F51" s="512"/>
      <c r="G51" s="512"/>
      <c r="H51" s="512"/>
      <c r="I51" s="512"/>
      <c r="J51" s="512"/>
      <c r="K51" s="512"/>
      <c r="L51" s="513"/>
      <c r="N51" s="264"/>
      <c r="P51" s="264"/>
    </row>
    <row r="52" spans="1:16" ht="15" customHeight="1" x14ac:dyDescent="0.45">
      <c r="A52" s="321" t="s">
        <v>58</v>
      </c>
      <c r="B52" s="57">
        <f>'1-Informations-paramètres '!C14+B38-B16</f>
        <v>0</v>
      </c>
      <c r="C52" s="57">
        <f>B52+C38-C16</f>
        <v>0</v>
      </c>
      <c r="D52" s="56">
        <f>C52+D38-D16</f>
        <v>0</v>
      </c>
      <c r="E52" s="322">
        <f>D52+E38-E16</f>
        <v>0</v>
      </c>
      <c r="G52" s="81">
        <f>E52+G41-G16</f>
        <v>0</v>
      </c>
      <c r="H52" s="57">
        <f>G52+H41-H16</f>
        <v>0</v>
      </c>
      <c r="I52" s="57">
        <f>H52+I41-I16</f>
        <v>0</v>
      </c>
      <c r="J52" s="57">
        <f>I52+J41-J16</f>
        <v>0</v>
      </c>
      <c r="K52" s="57">
        <f>J52+K41-K16</f>
        <v>0</v>
      </c>
      <c r="L52" s="51">
        <f>K52+L41-L16</f>
        <v>0</v>
      </c>
      <c r="N52" s="91">
        <f t="shared" si="9"/>
        <v>0</v>
      </c>
      <c r="P52" s="91">
        <f>-IFERROR((INDEX(B52:L52, MATCH('1-Informations-paramètres '!C$48, $B$14:$L$14, 0)) - INDEX(B52:L52, MATCH('1-Informations-paramètres '!C$49, $B$14:$L$14, 0))) / INDEX(B52:E52, MATCH('1-Informations-paramètres '!C$48, $B$14:$L$14, 0)), "0")</f>
        <v>0</v>
      </c>
    </row>
    <row r="53" spans="1:16" ht="15" customHeight="1" x14ac:dyDescent="0.45">
      <c r="A53" s="321" t="s">
        <v>59</v>
      </c>
      <c r="B53" s="132" t="s">
        <v>112</v>
      </c>
      <c r="C53" s="132" t="s">
        <v>112</v>
      </c>
      <c r="D53" s="132" t="s">
        <v>112</v>
      </c>
      <c r="E53" s="322">
        <f>'1-Informations-paramètres '!C11</f>
        <v>0</v>
      </c>
      <c r="G53" s="81">
        <f>('1-Informations-paramètres '!C11)+'1-Informations-paramètres '!C11*'1-Informations-paramètres '!C12</f>
        <v>0</v>
      </c>
      <c r="H53" s="57">
        <f>(G53)+(G53*'1-Informations-paramètres '!$C$12)</f>
        <v>0</v>
      </c>
      <c r="I53" s="57">
        <f>(H53)+(H53*'1-Informations-paramètres '!$C$12)</f>
        <v>0</v>
      </c>
      <c r="J53" s="57">
        <f>(I53)+(I53*'1-Informations-paramètres '!$C$12)</f>
        <v>0</v>
      </c>
      <c r="K53" s="57">
        <f>(J53)+(J53*'1-Informations-paramètres '!$C$12)</f>
        <v>0</v>
      </c>
      <c r="L53" s="51">
        <f>(K53)+(K53*'1-Informations-paramètres '!$C$12)</f>
        <v>0</v>
      </c>
      <c r="N53" s="91">
        <f t="shared" si="9"/>
        <v>0</v>
      </c>
      <c r="P53" s="91">
        <f>-IFERROR((INDEX(B53:L53, MATCH('1-Informations-paramètres '!C$48, $B$14:$L$14, 0)) - INDEX(B53:L53, MATCH('1-Informations-paramètres '!C$49, $B$14:$L$14, 0))) / INDEX(B53:E53, MATCH('1-Informations-paramètres '!C$48, $B$14:$L$14, 0)), "0")</f>
        <v>0</v>
      </c>
    </row>
    <row r="54" spans="1:16" ht="15" customHeight="1" x14ac:dyDescent="0.45">
      <c r="A54" s="321" t="s">
        <v>60</v>
      </c>
      <c r="B54" s="57" t="str">
        <f>IFERROR(IF('1-Informations-paramètres '!$C$10="en milliers d'euros",B52/B53*1000,IF('1-Informations-paramètres '!$C$10="en euros",B52/B53,IF('1-Informations-paramètres '!$C$10="en millions d'euros",B52/B53*1000000))),"A saisir")</f>
        <v>A saisir</v>
      </c>
      <c r="C54" s="57" t="str">
        <f>IFERROR(IF('1-Informations-paramètres '!$C$10="en milliers d'euros",C52/C53*1000,IF('1-Informations-paramètres '!$C$10="en euros",C52/C53,IF('1-Informations-paramètres '!$C$10="en millions d'euros",C52/C53*1000000))),"A saisir")</f>
        <v>A saisir</v>
      </c>
      <c r="D54" s="57" t="str">
        <f>IFERROR(IF('1-Informations-paramètres '!$C$10="en milliers d'euros",D52/D53*1000,IF('1-Informations-paramètres '!$C$10="en euros",D52/D53,IF('1-Informations-paramètres '!$C$10="en millions d'euros",D52/D53*1000000))),"A saisir")</f>
        <v>A saisir</v>
      </c>
      <c r="E54" s="322">
        <f>IFERROR(IF('1-Informations-paramètres '!$C$10="en milliers d'euros",E52/E53*1000,IF('1-Informations-paramètres '!$C$10="en euros",E52/E53,IF('1-Informations-paramètres '!$C$10="en millions d'euros",E52/E53*1000000))),0)</f>
        <v>0</v>
      </c>
      <c r="G54" s="81">
        <f>IFERROR(IF('1-Informations-paramètres '!$C$10="en milliers d'euros",G52/G53*1000,IF('1-Informations-paramètres '!$C$10="en euros",G52/G53,IF('1-Informations-paramètres '!$C$10="en millions d'euros",G52/G53*1000000))),0)</f>
        <v>0</v>
      </c>
      <c r="H54" s="57">
        <f>IFERROR(IF('1-Informations-paramètres '!$C$10="en milliers d'euros",H52/H53*1000,IF('1-Informations-paramètres '!$C$10="en euros",H52/H53,IF('1-Informations-paramètres '!$C$10="en millions d'euros",H52/H53*1000000))),0)</f>
        <v>0</v>
      </c>
      <c r="I54" s="57">
        <f>IFERROR(IF('1-Informations-paramètres '!$C$10="en milliers d'euros",I52/I53*1000,IF('1-Informations-paramètres '!$C$10="en euros",I52/I53,IF('1-Informations-paramètres '!$C$10="en millions d'euros",I52/I53*1000000))),0)</f>
        <v>0</v>
      </c>
      <c r="J54" s="57">
        <f>IFERROR(IF('1-Informations-paramètres '!$C$10="en milliers d'euros",J52/J53*1000,IF('1-Informations-paramètres '!$C$10="en euros",J52/J53,IF('1-Informations-paramètres '!$C$10="en millions d'euros",J52/J53*1000000))),0)</f>
        <v>0</v>
      </c>
      <c r="K54" s="57">
        <f>IFERROR(IF('1-Informations-paramètres '!$C$10="en milliers d'euros",K52/K53*1000,IF('1-Informations-paramètres '!$C$10="en euros",K52/K53,IF('1-Informations-paramètres '!$C$10="en millions d'euros",K52/K53*1000000))),0)</f>
        <v>0</v>
      </c>
      <c r="L54" s="51">
        <f>IFERROR(IF('1-Informations-paramètres '!$C$10="en milliers d'euros",L52/L53*1000,IF('1-Informations-paramètres '!$C$10="en euros",L52/L53,IF('1-Informations-paramètres '!$C$10="en millions d'euros",L52/L53*1000000))),0)</f>
        <v>0</v>
      </c>
      <c r="N54" s="91">
        <f t="shared" si="9"/>
        <v>0</v>
      </c>
      <c r="P54" s="91">
        <f>-IFERROR((INDEX(B54:L54, MATCH('1-Informations-paramètres '!C$48, $B$14:$L$14, 0)) - INDEX(B54:L54, MATCH('1-Informations-paramètres '!C$49, $B$14:$L$14, 0))) / INDEX(B54:E54, MATCH('1-Informations-paramètres '!C$48, $B$14:$L$14, 0)), "0")</f>
        <v>0</v>
      </c>
    </row>
    <row r="55" spans="1:16" ht="15.65" customHeight="1" thickBot="1" x14ac:dyDescent="0.5">
      <c r="A55" s="312" t="s">
        <v>61</v>
      </c>
      <c r="B55" s="337">
        <f>IFERROR(B52/'2-Section de Fonctionnement'!C48,0)</f>
        <v>0</v>
      </c>
      <c r="C55" s="337">
        <f>IFERROR(C52/'2-Section de Fonctionnement'!D48,0)</f>
        <v>0</v>
      </c>
      <c r="D55" s="337">
        <f>IFERROR(D52/'2-Section de Fonctionnement'!E48,0)</f>
        <v>0</v>
      </c>
      <c r="E55" s="338">
        <f>IFERROR(E52/'2-Section de Fonctionnement'!F48,0)</f>
        <v>0</v>
      </c>
      <c r="F55" s="146"/>
      <c r="G55" s="323">
        <f>IFERROR(G52/'2-Section de Fonctionnement'!H48,0)</f>
        <v>0</v>
      </c>
      <c r="H55" s="324">
        <f>IFERROR(H52/'2-Section de Fonctionnement'!I48,0)</f>
        <v>0</v>
      </c>
      <c r="I55" s="324">
        <f>IFERROR(I52/'2-Section de Fonctionnement'!J48,0)</f>
        <v>0</v>
      </c>
      <c r="J55" s="324">
        <f>IFERROR(J52/'2-Section de Fonctionnement'!K48,0)</f>
        <v>0</v>
      </c>
      <c r="K55" s="324">
        <f>IFERROR(K52/'2-Section de Fonctionnement'!L48,0)</f>
        <v>0</v>
      </c>
      <c r="L55" s="325">
        <f>IFERROR(L52/'2-Section de Fonctionnement'!M48,0)</f>
        <v>0</v>
      </c>
      <c r="N55" s="263">
        <f t="shared" si="9"/>
        <v>0</v>
      </c>
      <c r="P55" s="263">
        <f>-IFERROR((INDEX(B55:L55, MATCH('1-Informations-paramètres '!C$48, $B$14:$L$14, 0)) - INDEX(B55:L55, MATCH('1-Informations-paramètres '!C$49, $B$14:$L$14, 0))) / INDEX(B55:E55, MATCH('1-Informations-paramètres '!C$48, $B$14:$L$14, 0)), "0")</f>
        <v>0</v>
      </c>
    </row>
    <row r="56" spans="1:16" ht="16.5" thickBot="1" x14ac:dyDescent="0.5">
      <c r="A56" s="329" t="s">
        <v>62</v>
      </c>
      <c r="B56" s="327">
        <f>B15-B16</f>
        <v>0</v>
      </c>
      <c r="C56" s="327">
        <f>B56+C15-C16</f>
        <v>0</v>
      </c>
      <c r="D56" s="327">
        <f t="shared" ref="D56:E56" si="11">C56+D15-D16</f>
        <v>0</v>
      </c>
      <c r="E56" s="327">
        <f t="shared" si="11"/>
        <v>0</v>
      </c>
      <c r="F56" s="88"/>
      <c r="G56" s="326">
        <f>E56+G15-G16</f>
        <v>0</v>
      </c>
      <c r="H56" s="327">
        <f>G56+H15-H16</f>
        <v>0</v>
      </c>
      <c r="I56" s="327">
        <f t="shared" ref="I56:L56" si="12">H56+I15-I16</f>
        <v>0</v>
      </c>
      <c r="J56" s="327">
        <f t="shared" si="12"/>
        <v>0</v>
      </c>
      <c r="K56" s="327">
        <f t="shared" si="12"/>
        <v>0</v>
      </c>
      <c r="L56" s="328">
        <f t="shared" si="12"/>
        <v>0</v>
      </c>
    </row>
    <row r="58" spans="1:16" hidden="1" x14ac:dyDescent="0.45">
      <c r="A58" s="40" t="s">
        <v>30</v>
      </c>
      <c r="G58" s="41"/>
    </row>
    <row r="59" spans="1:16" hidden="1" x14ac:dyDescent="0.45">
      <c r="A59" s="40" t="s">
        <v>31</v>
      </c>
      <c r="G59" s="41"/>
    </row>
    <row r="60" spans="1:16" x14ac:dyDescent="0.45">
      <c r="G60" s="41"/>
      <c r="J60" s="41"/>
    </row>
    <row r="61" spans="1:16" x14ac:dyDescent="0.45">
      <c r="C61" s="41"/>
    </row>
  </sheetData>
  <sheetProtection algorithmName="SHA-512" hashValue="dGW3FOtUDSrgvmxPWu62uHpYhi3pHGb7+DWYEZfppb5AAoYS2uMJWGle2HEJC+oLHYsbBZ/04o0HfBXelMV40g==" saltValue="cUMlAb+usnpXARdgP3ETfw==" spinCount="100000" sheet="1" objects="1" scenarios="1" formatRows="0"/>
  <mergeCells count="11">
    <mergeCell ref="A1:P1"/>
    <mergeCell ref="B12:E12"/>
    <mergeCell ref="G12:L12"/>
    <mergeCell ref="A26:K26"/>
    <mergeCell ref="A2:M2"/>
    <mergeCell ref="F14:F15"/>
    <mergeCell ref="A51:L51"/>
    <mergeCell ref="A45:L45"/>
    <mergeCell ref="N44:N45"/>
    <mergeCell ref="P44:P45"/>
    <mergeCell ref="C41:E41"/>
  </mergeCells>
  <dataValidations xWindow="432" yWindow="399" count="3">
    <dataValidation type="decimal" operator="greaterThanOrEqual" allowBlank="1" showErrorMessage="1" errorTitle="Attention" error="Le nombre saisi doit être suppérieur ou égale à zéro." promptTitle="Attention" prompt="Le nombre saisit doit être suppérieur à zéro" sqref="B4:B5" xr:uid="{C30B7F71-A285-4ED7-A1CC-FADF86100678}">
      <formula1>0</formula1>
    </dataValidation>
    <dataValidation type="list" errorStyle="warning" showErrorMessage="1" errorTitle="Eligible FCTVA" error="Saisir &quot;Oui&quot; ou &quot;Non&quot; " promptTitle="Eligible FCTVA" prompt="Saisir &quot;Oui&quot; ou &quot;Non&quot; " sqref="F17:F25" xr:uid="{407AC1B3-5B06-4B10-B2CC-5673C925A94C}">
      <formula1>$A$58:$A$59</formula1>
    </dataValidation>
    <dataValidation allowBlank="1" showInputMessage="1" showErrorMessage="1" sqref="P44" xr:uid="{A895725B-C1CB-4EEF-BC99-4DD50969A21B}"/>
  </dataValidations>
  <pageMargins left="0.7" right="0.7" top="0.75" bottom="0.75" header="0.3" footer="0.3"/>
  <pageSetup paperSize="8" scale="77" orientation="landscape" r:id="rId1"/>
  <ignoredErrors>
    <ignoredError sqref="G15 H15:L15"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 id="{836588CF-2AB3-4841-8BB7-AC78D3587E3C}">
            <x14:iconSet iconSet="3Flags" custom="1">
              <x14:cfvo type="percent">
                <xm:f>0</xm:f>
              </x14:cfvo>
              <x14:cfvo type="num">
                <xm:f>7.5</xm:f>
              </x14:cfvo>
              <x14:cfvo type="num">
                <xm:f>12</xm:f>
              </x14:cfvo>
              <x14:cfIcon iconSet="3Flags" iconId="2"/>
              <x14:cfIcon iconSet="3Flags" iconId="1"/>
              <x14:cfIcon iconSet="3Flags" iconId="0"/>
            </x14:iconSet>
          </x14:cfRule>
          <xm:sqref>B55:E55 G55:L55</xm:sqref>
        </x14:conditionalFormatting>
      </x14:conditionalFormattings>
    </ext>
    <ext xmlns:x14="http://schemas.microsoft.com/office/spreadsheetml/2009/9/main" uri="{CCE6A557-97BC-4b89-ADB6-D9C93CAAB3DF}">
      <x14:dataValidations xmlns:xm="http://schemas.microsoft.com/office/excel/2006/main" xWindow="432" yWindow="399" count="6">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A3D3A98B-6EA3-4AAE-83C5-F915452DA29E}">
          <x14:formula1>
            <xm:f>'1-Informations-paramètres '!$B$37:$B$45</xm:f>
          </x14:formula1>
          <xm:sqref>A17:A24</xm:sqref>
        </x14:dataValidation>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7D66EBFD-7FCD-4DB7-B606-1722A06E6E29}">
          <x14:formula1>
            <xm:f>'1-Informations-paramètres '!$D$38:$D$45</xm:f>
          </x14:formula1>
          <xm:sqref>A31:A37</xm:sqref>
        </x14:dataValidation>
        <x14:dataValidation type="list" allowBlank="1" showInputMessage="1" showErrorMessage="1" xr:uid="{EFD79405-553B-425A-B356-136AA9F5FEE6}">
          <x14:formula1>
            <xm:f>'1-Informations-paramètres '!$B$36</xm:f>
          </x14:formula1>
          <xm:sqref>A16</xm:sqref>
        </x14:dataValidation>
        <x14:dataValidation type="list" allowBlank="1" showInputMessage="1" showErrorMessage="1" xr:uid="{100FFE3E-C963-49DA-9416-A6B492B4FA60}">
          <x14:formula1>
            <xm:f>'1-Informations-paramètres '!$D$36</xm:f>
          </x14:formula1>
          <xm:sqref>A30</xm:sqref>
        </x14:dataValidation>
        <x14:dataValidation type="list" allowBlank="1" showInputMessage="1" showErrorMessage="1" xr:uid="{FD8E6F88-469B-4445-ACE9-3757EB173223}">
          <x14:formula1>
            <xm:f>'1-Informations-paramètres '!$D$45</xm:f>
          </x14:formula1>
          <xm:sqref>A39</xm:sqref>
        </x14:dataValidation>
        <x14:dataValidation type="list" allowBlank="1" showInputMessage="1" showErrorMessage="1" xr:uid="{39CEDE3F-2035-41A9-96F2-7FC0FFFFAE65}">
          <x14:formula1>
            <xm:f>'1-Informations-paramètres '!$D$37</xm:f>
          </x14:formula1>
          <xm:sqref>A38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6054-3651-4860-B049-7F6E0D4561E1}">
  <sheetPr codeName="Feuil5">
    <pageSetUpPr fitToPage="1"/>
  </sheetPr>
  <dimension ref="A1:K51"/>
  <sheetViews>
    <sheetView zoomScale="85" zoomScaleNormal="85" workbookViewId="0">
      <selection activeCell="A29" sqref="A29"/>
    </sheetView>
  </sheetViews>
  <sheetFormatPr baseColWidth="10" defaultColWidth="11.54296875" defaultRowHeight="16.5" x14ac:dyDescent="0.45"/>
  <cols>
    <col min="1" max="1" width="60.1796875" style="1" customWidth="1"/>
    <col min="2" max="10" width="10.7265625" style="1" customWidth="1"/>
    <col min="11" max="11" width="9.7265625" style="1" customWidth="1"/>
    <col min="12" max="16384" width="11.54296875" style="1"/>
  </cols>
  <sheetData>
    <row r="1" spans="1:11" ht="21.5" thickBot="1" x14ac:dyDescent="0.6">
      <c r="A1" s="502" t="s">
        <v>107</v>
      </c>
      <c r="B1" s="503"/>
      <c r="C1" s="503"/>
      <c r="D1" s="503"/>
      <c r="E1" s="503"/>
      <c r="F1" s="503"/>
      <c r="G1" s="503"/>
      <c r="H1" s="503"/>
      <c r="I1" s="503"/>
      <c r="J1" s="503"/>
      <c r="K1" s="503"/>
    </row>
    <row r="2" spans="1:11" x14ac:dyDescent="0.45">
      <c r="A2" s="543" t="str">
        <f>"Les montants ci-dessous sont exprimés " &amp; '1-Informations-paramètres '!C10</f>
        <v>Les montants ci-dessous sont exprimés en milliers d'euros</v>
      </c>
      <c r="B2" s="543"/>
      <c r="C2" s="543"/>
      <c r="D2" s="543"/>
      <c r="E2" s="543"/>
      <c r="F2" s="543"/>
      <c r="G2" s="543"/>
      <c r="H2" s="543"/>
      <c r="I2" s="543"/>
      <c r="J2" s="543"/>
    </row>
    <row r="3" spans="1:11" ht="17" thickBot="1" x14ac:dyDescent="0.5">
      <c r="B3" s="128"/>
    </row>
    <row r="4" spans="1:11" ht="17" thickBot="1" x14ac:dyDescent="0.5">
      <c r="B4" s="538" t="s">
        <v>25</v>
      </c>
      <c r="C4" s="539"/>
      <c r="D4" s="539"/>
      <c r="E4" s="540"/>
      <c r="F4" s="541" t="s">
        <v>26</v>
      </c>
      <c r="G4" s="541"/>
      <c r="H4" s="541"/>
      <c r="I4" s="541"/>
      <c r="J4" s="541"/>
      <c r="K4" s="542"/>
    </row>
    <row r="5" spans="1:11" ht="17" x14ac:dyDescent="0.5">
      <c r="A5" s="265" t="s">
        <v>63</v>
      </c>
      <c r="B5" s="266">
        <f>'1-Informations-paramètres '!C8:C8</f>
        <v>0</v>
      </c>
      <c r="C5" s="267">
        <f t="shared" ref="C5:K5" si="0">B5+1</f>
        <v>1</v>
      </c>
      <c r="D5" s="267">
        <f t="shared" si="0"/>
        <v>2</v>
      </c>
      <c r="E5" s="268">
        <f t="shared" si="0"/>
        <v>3</v>
      </c>
      <c r="F5" s="269">
        <f t="shared" si="0"/>
        <v>4</v>
      </c>
      <c r="G5" s="267">
        <f t="shared" si="0"/>
        <v>5</v>
      </c>
      <c r="H5" s="267">
        <f t="shared" si="0"/>
        <v>6</v>
      </c>
      <c r="I5" s="267">
        <f t="shared" si="0"/>
        <v>7</v>
      </c>
      <c r="J5" s="267">
        <f t="shared" si="0"/>
        <v>8</v>
      </c>
      <c r="K5" s="268">
        <f t="shared" si="0"/>
        <v>9</v>
      </c>
    </row>
    <row r="6" spans="1:11" x14ac:dyDescent="0.45">
      <c r="A6" s="219" t="s">
        <v>64</v>
      </c>
      <c r="B6" s="221">
        <f>'4-Section d''Investissement'!B16</f>
        <v>0</v>
      </c>
      <c r="C6" s="167">
        <f>'4-Section d''Investissement'!C16</f>
        <v>0</v>
      </c>
      <c r="D6" s="167">
        <f>'4-Section d''Investissement'!D16</f>
        <v>0</v>
      </c>
      <c r="E6" s="274">
        <f>'4-Section d''Investissement'!E16</f>
        <v>0</v>
      </c>
      <c r="F6" s="275"/>
      <c r="G6" s="276"/>
      <c r="H6" s="277"/>
      <c r="I6" s="276"/>
      <c r="J6" s="276"/>
      <c r="K6" s="278"/>
    </row>
    <row r="7" spans="1:11" ht="17" thickBot="1" x14ac:dyDescent="0.5">
      <c r="A7" s="220" t="s">
        <v>65</v>
      </c>
      <c r="B7" s="222">
        <f>'2-Section de Fonctionnement'!C12</f>
        <v>0</v>
      </c>
      <c r="C7" s="168">
        <f>'2-Section de Fonctionnement'!D12</f>
        <v>0</v>
      </c>
      <c r="D7" s="168">
        <f>'2-Section de Fonctionnement'!E12</f>
        <v>0</v>
      </c>
      <c r="E7" s="279">
        <f>'2-Section de Fonctionnement'!F12</f>
        <v>0</v>
      </c>
      <c r="F7" s="280"/>
      <c r="G7" s="281"/>
      <c r="H7" s="281"/>
      <c r="I7" s="281"/>
      <c r="J7" s="281"/>
      <c r="K7" s="282"/>
    </row>
    <row r="8" spans="1:11" s="3" customFormat="1" ht="17" thickBot="1" x14ac:dyDescent="0.5">
      <c r="A8" s="2"/>
      <c r="B8" s="2"/>
      <c r="C8" s="2"/>
      <c r="D8" s="2"/>
      <c r="E8" s="2"/>
      <c r="F8" s="2"/>
      <c r="G8" s="2"/>
      <c r="H8" s="2"/>
      <c r="I8" s="2"/>
      <c r="J8" s="2"/>
    </row>
    <row r="9" spans="1:11" ht="17" x14ac:dyDescent="0.5">
      <c r="A9" s="273" t="s">
        <v>66</v>
      </c>
      <c r="B9" s="526"/>
      <c r="C9" s="527"/>
      <c r="D9" s="527"/>
      <c r="E9" s="528"/>
      <c r="F9" s="270">
        <f>E5+1</f>
        <v>4</v>
      </c>
      <c r="G9" s="271">
        <f>F9+1</f>
        <v>5</v>
      </c>
      <c r="H9" s="271">
        <f>G9+1</f>
        <v>6</v>
      </c>
      <c r="I9" s="271">
        <f>H9+1</f>
        <v>7</v>
      </c>
      <c r="J9" s="271">
        <f>I9+1</f>
        <v>8</v>
      </c>
      <c r="K9" s="272">
        <f>J9+1</f>
        <v>9</v>
      </c>
    </row>
    <row r="10" spans="1:11" ht="16.5" hidden="1" customHeight="1" x14ac:dyDescent="0.45">
      <c r="A10" s="150" t="s">
        <v>67</v>
      </c>
      <c r="B10" s="529"/>
      <c r="C10" s="530"/>
      <c r="D10" s="530"/>
      <c r="E10" s="531"/>
      <c r="F10" s="151">
        <f>'4-Section d''Investissement'!G47</f>
        <v>0</v>
      </c>
      <c r="G10" s="21">
        <f>'4-Section d''Investissement'!H47</f>
        <v>0</v>
      </c>
      <c r="H10" s="20">
        <f>'4-Section d''Investissement'!I47</f>
        <v>0</v>
      </c>
      <c r="I10" s="20">
        <f>'4-Section d''Investissement'!J47</f>
        <v>0</v>
      </c>
      <c r="J10" s="20">
        <f>'4-Section d''Investissement'!K47</f>
        <v>0</v>
      </c>
      <c r="K10" s="22">
        <f>'4-Section d''Investissement'!L47</f>
        <v>0</v>
      </c>
    </row>
    <row r="11" spans="1:11" ht="16.5" hidden="1" customHeight="1" x14ac:dyDescent="0.45">
      <c r="A11" s="150" t="s">
        <v>68</v>
      </c>
      <c r="B11" s="529"/>
      <c r="C11" s="530"/>
      <c r="D11" s="530"/>
      <c r="E11" s="531"/>
      <c r="F11" s="151">
        <f>'4-Section d''Investissement'!G46</f>
        <v>0</v>
      </c>
      <c r="G11" s="21">
        <f>'4-Section d''Investissement'!H46</f>
        <v>0</v>
      </c>
      <c r="H11" s="20">
        <f>'4-Section d''Investissement'!I46</f>
        <v>0</v>
      </c>
      <c r="I11" s="20">
        <f>'4-Section d''Investissement'!J46</f>
        <v>0</v>
      </c>
      <c r="J11" s="20">
        <f>'4-Section d''Investissement'!K46</f>
        <v>0</v>
      </c>
      <c r="K11" s="22">
        <f>'4-Section d''Investissement'!L46</f>
        <v>0</v>
      </c>
    </row>
    <row r="12" spans="1:11" x14ac:dyDescent="0.45">
      <c r="A12" s="378" t="s">
        <v>69</v>
      </c>
      <c r="B12" s="529"/>
      <c r="C12" s="530"/>
      <c r="D12" s="530"/>
      <c r="E12" s="531"/>
      <c r="F12" s="375"/>
      <c r="G12" s="376"/>
      <c r="H12" s="376"/>
      <c r="I12" s="376"/>
      <c r="J12" s="376"/>
      <c r="K12" s="377"/>
    </row>
    <row r="13" spans="1:11" ht="16.5" hidden="1" customHeight="1" x14ac:dyDescent="0.45">
      <c r="A13" s="373" t="s">
        <v>70</v>
      </c>
      <c r="B13" s="529"/>
      <c r="C13" s="530"/>
      <c r="D13" s="530"/>
      <c r="E13" s="531"/>
      <c r="F13" s="374">
        <f t="shared" ref="F13:K13" si="1">+F10-F11+F12</f>
        <v>0</v>
      </c>
      <c r="G13" s="59">
        <f t="shared" si="1"/>
        <v>0</v>
      </c>
      <c r="H13" s="59">
        <f t="shared" si="1"/>
        <v>0</v>
      </c>
      <c r="I13" s="59">
        <f t="shared" si="1"/>
        <v>0</v>
      </c>
      <c r="J13" s="59">
        <f t="shared" si="1"/>
        <v>0</v>
      </c>
      <c r="K13" s="60">
        <f t="shared" si="1"/>
        <v>0</v>
      </c>
    </row>
    <row r="14" spans="1:11" x14ac:dyDescent="0.45">
      <c r="A14" s="169" t="s">
        <v>71</v>
      </c>
      <c r="B14" s="529"/>
      <c r="C14" s="530"/>
      <c r="D14" s="530"/>
      <c r="E14" s="531"/>
      <c r="F14" s="385">
        <f t="shared" ref="F14:K14" si="2">IFERROR(IF(F13&gt;0,F13,0),0)</f>
        <v>0</v>
      </c>
      <c r="G14" s="316">
        <f t="shared" si="2"/>
        <v>0</v>
      </c>
      <c r="H14" s="316">
        <f t="shared" si="2"/>
        <v>0</v>
      </c>
      <c r="I14" s="316">
        <f t="shared" si="2"/>
        <v>0</v>
      </c>
      <c r="J14" s="316">
        <f t="shared" si="2"/>
        <v>0</v>
      </c>
      <c r="K14" s="320">
        <f t="shared" si="2"/>
        <v>0</v>
      </c>
    </row>
    <row r="15" spans="1:11" x14ac:dyDescent="0.45">
      <c r="A15" s="170" t="s">
        <v>72</v>
      </c>
      <c r="B15" s="529"/>
      <c r="C15" s="530"/>
      <c r="D15" s="530"/>
      <c r="E15" s="531"/>
      <c r="F15" s="379"/>
      <c r="G15" s="380"/>
      <c r="H15" s="380"/>
      <c r="I15" s="380"/>
      <c r="J15" s="380"/>
      <c r="K15" s="381"/>
    </row>
    <row r="16" spans="1:11" ht="17" thickBot="1" x14ac:dyDescent="0.5">
      <c r="A16" s="171" t="s">
        <v>73</v>
      </c>
      <c r="B16" s="532"/>
      <c r="C16" s="533"/>
      <c r="D16" s="533"/>
      <c r="E16" s="534"/>
      <c r="F16" s="382"/>
      <c r="G16" s="383"/>
      <c r="H16" s="383"/>
      <c r="I16" s="383"/>
      <c r="J16" s="383"/>
      <c r="K16" s="384"/>
    </row>
    <row r="17" spans="1:11" ht="17" thickBot="1" x14ac:dyDescent="0.5">
      <c r="A17" s="29"/>
      <c r="B17" s="2"/>
      <c r="C17" s="2"/>
      <c r="D17" s="2"/>
      <c r="E17" s="2"/>
      <c r="F17" s="2"/>
      <c r="G17" s="3"/>
    </row>
    <row r="18" spans="1:11" hidden="1" x14ac:dyDescent="0.45">
      <c r="A18" s="544" t="s">
        <v>74</v>
      </c>
      <c r="B18" s="545"/>
      <c r="C18" s="545"/>
      <c r="D18" s="545"/>
      <c r="E18" s="545"/>
      <c r="F18" s="546"/>
      <c r="G18" s="3"/>
    </row>
    <row r="19" spans="1:11" hidden="1" x14ac:dyDescent="0.45">
      <c r="A19" s="8">
        <f>F9</f>
        <v>4</v>
      </c>
      <c r="B19" s="340"/>
      <c r="C19" s="340" t="e">
        <f>$F$14-($F$14/$F$15)</f>
        <v>#DIV/0!</v>
      </c>
      <c r="D19" s="340" t="e">
        <f>C19-($F$14/$F$15)</f>
        <v>#DIV/0!</v>
      </c>
      <c r="E19" s="340" t="e">
        <f>D19-($F$14/$F$15)</f>
        <v>#DIV/0!</v>
      </c>
      <c r="F19" s="341" t="e">
        <f>E19-($F$14/$F$15)</f>
        <v>#DIV/0!</v>
      </c>
      <c r="G19" s="3"/>
    </row>
    <row r="20" spans="1:11" hidden="1" x14ac:dyDescent="0.45">
      <c r="A20" s="8">
        <f>G9</f>
        <v>5</v>
      </c>
      <c r="B20" s="340"/>
      <c r="C20" s="340"/>
      <c r="D20" s="340" t="e">
        <f>$G$14-($G$14/$G$15)</f>
        <v>#DIV/0!</v>
      </c>
      <c r="E20" s="340" t="e">
        <f>D20-($G$14/$G$15)</f>
        <v>#DIV/0!</v>
      </c>
      <c r="F20" s="341" t="e">
        <f>E20-($G$14/$G$15)</f>
        <v>#DIV/0!</v>
      </c>
      <c r="G20" s="3"/>
    </row>
    <row r="21" spans="1:11" hidden="1" x14ac:dyDescent="0.45">
      <c r="A21" s="8">
        <f>H9</f>
        <v>6</v>
      </c>
      <c r="B21" s="340"/>
      <c r="C21" s="340"/>
      <c r="D21" s="340"/>
      <c r="E21" s="340" t="e">
        <f>$H$14-($H$14/$H$15)</f>
        <v>#DIV/0!</v>
      </c>
      <c r="F21" s="341" t="e">
        <f>E21-($H$14/$H$15)</f>
        <v>#DIV/0!</v>
      </c>
      <c r="G21" s="3"/>
    </row>
    <row r="22" spans="1:11" hidden="1" x14ac:dyDescent="0.45">
      <c r="A22" s="8">
        <f>I9</f>
        <v>7</v>
      </c>
      <c r="B22" s="340"/>
      <c r="C22" s="340"/>
      <c r="D22" s="340"/>
      <c r="E22" s="340"/>
      <c r="F22" s="341" t="e">
        <f>$I$14-($I$14/$I$15)</f>
        <v>#DIV/0!</v>
      </c>
      <c r="G22" s="3"/>
    </row>
    <row r="23" spans="1:11" hidden="1" x14ac:dyDescent="0.45">
      <c r="A23" s="9">
        <f>J9</f>
        <v>8</v>
      </c>
      <c r="B23" s="342"/>
      <c r="C23" s="342"/>
      <c r="D23" s="342"/>
      <c r="E23" s="342"/>
      <c r="F23" s="343"/>
      <c r="G23" s="3"/>
    </row>
    <row r="24" spans="1:11" hidden="1" x14ac:dyDescent="0.45">
      <c r="A24" s="3"/>
      <c r="B24" s="3"/>
      <c r="C24" s="3"/>
      <c r="D24" s="3"/>
      <c r="E24" s="3"/>
      <c r="F24" s="3"/>
      <c r="G24" s="3"/>
    </row>
    <row r="25" spans="1:11" hidden="1" x14ac:dyDescent="0.45">
      <c r="A25" s="10" t="s">
        <v>75</v>
      </c>
      <c r="B25" s="11">
        <f>F9</f>
        <v>4</v>
      </c>
      <c r="C25" s="11">
        <f>B25+1</f>
        <v>5</v>
      </c>
      <c r="D25" s="11">
        <f>C25+1</f>
        <v>6</v>
      </c>
      <c r="E25" s="12">
        <f>D25+1</f>
        <v>7</v>
      </c>
      <c r="F25" s="12">
        <f>E25+1</f>
        <v>8</v>
      </c>
      <c r="G25" s="12">
        <f>F25+1</f>
        <v>9</v>
      </c>
    </row>
    <row r="26" spans="1:11" hidden="1" x14ac:dyDescent="0.45">
      <c r="A26" s="7" t="s">
        <v>76</v>
      </c>
      <c r="B26" s="344"/>
      <c r="C26" s="345">
        <f>IFERROR((F14/F15),0)</f>
        <v>0</v>
      </c>
      <c r="D26" s="345">
        <f>IFERROR((F14/F15)+(G14/G15),0)</f>
        <v>0</v>
      </c>
      <c r="E26" s="346">
        <f>IFERROR((F14/F15)+(G14/G15)+(H14/H15),0)</f>
        <v>0</v>
      </c>
      <c r="F26" s="346">
        <f>IFERROR((F14/F15)+(G14/G15)+(H14/H15)+(I14/I15),0)</f>
        <v>0</v>
      </c>
      <c r="G26" s="346">
        <f>IFERROR((F14/F15)+(G14/G15)+(H14/H15)+(I14/I15)+(J14/J15),0)</f>
        <v>0</v>
      </c>
    </row>
    <row r="27" spans="1:11" hidden="1" x14ac:dyDescent="0.45">
      <c r="A27" s="13" t="s">
        <v>77</v>
      </c>
      <c r="B27" s="347"/>
      <c r="C27" s="348">
        <f>IFERROR((F14*F16),0)</f>
        <v>0</v>
      </c>
      <c r="D27" s="348">
        <f>IFERROR((C19*$F$16)+(G14*G16),0)</f>
        <v>0</v>
      </c>
      <c r="E27" s="349">
        <f>IFERROR((H14*H16)+(D19*F16)+(D20*G16),0)</f>
        <v>0</v>
      </c>
      <c r="F27" s="349">
        <f>IFERROR((I14*I16)+(E19*F16)+(E20*G16)+(E21*H16),0)</f>
        <v>0</v>
      </c>
      <c r="G27" s="349">
        <f>IFERROR((J14*J16)+((F19*F16)+(F20*G16)+(F21*H16)+(F22*I16)),0)</f>
        <v>0</v>
      </c>
    </row>
    <row r="28" spans="1:11" hidden="1" x14ac:dyDescent="0.45">
      <c r="A28" s="3"/>
      <c r="B28" s="3"/>
      <c r="C28" s="3"/>
      <c r="D28" s="3"/>
      <c r="E28" s="3"/>
      <c r="F28" s="3"/>
      <c r="G28" s="3"/>
    </row>
    <row r="29" spans="1:11" ht="32.25" customHeight="1" x14ac:dyDescent="0.45">
      <c r="A29" s="417" t="s">
        <v>78</v>
      </c>
      <c r="B29" s="547" t="s">
        <v>79</v>
      </c>
      <c r="C29" s="548"/>
      <c r="D29" s="418" t="s">
        <v>125</v>
      </c>
      <c r="E29" s="419"/>
      <c r="F29" s="419"/>
      <c r="G29" s="419"/>
      <c r="H29" s="420"/>
      <c r="I29" s="420"/>
      <c r="J29" s="420"/>
      <c r="K29" s="421"/>
    </row>
    <row r="30" spans="1:11" ht="18" customHeight="1" x14ac:dyDescent="0.45">
      <c r="A30" s="422"/>
      <c r="B30" s="415"/>
      <c r="C30" s="415"/>
      <c r="D30" s="415"/>
      <c r="E30" s="415"/>
      <c r="F30" s="415"/>
      <c r="G30" s="415"/>
      <c r="H30" s="416"/>
      <c r="I30" s="416"/>
      <c r="J30" s="416"/>
      <c r="K30" s="423"/>
    </row>
    <row r="31" spans="1:11" ht="18" customHeight="1" thickBot="1" x14ac:dyDescent="0.5">
      <c r="A31" s="535" t="s">
        <v>95</v>
      </c>
      <c r="B31" s="536"/>
      <c r="C31" s="536"/>
      <c r="D31" s="536"/>
      <c r="E31" s="536"/>
      <c r="F31" s="536"/>
      <c r="G31" s="536"/>
      <c r="H31" s="536"/>
      <c r="I31" s="536"/>
      <c r="J31" s="536"/>
      <c r="K31" s="537"/>
    </row>
    <row r="32" spans="1:11" x14ac:dyDescent="0.45">
      <c r="A32" s="152" t="s">
        <v>80</v>
      </c>
      <c r="B32" s="153">
        <f>B5</f>
        <v>0</v>
      </c>
      <c r="C32" s="153">
        <f t="shared" ref="C32:K32" si="3">B32+1</f>
        <v>1</v>
      </c>
      <c r="D32" s="153">
        <f t="shared" si="3"/>
        <v>2</v>
      </c>
      <c r="E32" s="155">
        <f t="shared" si="3"/>
        <v>3</v>
      </c>
      <c r="F32" s="154">
        <f t="shared" si="3"/>
        <v>4</v>
      </c>
      <c r="G32" s="153">
        <f t="shared" si="3"/>
        <v>5</v>
      </c>
      <c r="H32" s="153">
        <f t="shared" si="3"/>
        <v>6</v>
      </c>
      <c r="I32" s="153">
        <f t="shared" si="3"/>
        <v>7</v>
      </c>
      <c r="J32" s="153">
        <f t="shared" si="3"/>
        <v>8</v>
      </c>
      <c r="K32" s="155">
        <f t="shared" si="3"/>
        <v>9</v>
      </c>
    </row>
    <row r="33" spans="1:11" x14ac:dyDescent="0.45">
      <c r="A33" s="397" t="s">
        <v>81</v>
      </c>
      <c r="B33" s="136">
        <f>B6</f>
        <v>0</v>
      </c>
      <c r="C33" s="136">
        <f>C6</f>
        <v>0</v>
      </c>
      <c r="D33" s="136">
        <f>D6</f>
        <v>0</v>
      </c>
      <c r="E33" s="137">
        <f>E6</f>
        <v>0</v>
      </c>
      <c r="F33" s="135">
        <f t="shared" ref="F33:K33" si="4">F6+B26</f>
        <v>0</v>
      </c>
      <c r="G33" s="136">
        <f>G6+C26</f>
        <v>0</v>
      </c>
      <c r="H33" s="136">
        <f t="shared" si="4"/>
        <v>0</v>
      </c>
      <c r="I33" s="136">
        <f t="shared" si="4"/>
        <v>0</v>
      </c>
      <c r="J33" s="136">
        <f t="shared" si="4"/>
        <v>0</v>
      </c>
      <c r="K33" s="137">
        <f t="shared" si="4"/>
        <v>0</v>
      </c>
    </row>
    <row r="34" spans="1:11" ht="17" thickBot="1" x14ac:dyDescent="0.5">
      <c r="A34" s="402" t="s">
        <v>82</v>
      </c>
      <c r="B34" s="283"/>
      <c r="C34" s="283"/>
      <c r="D34" s="283"/>
      <c r="E34" s="284"/>
      <c r="F34" s="183">
        <f t="shared" ref="F34:K34" si="5">B26</f>
        <v>0</v>
      </c>
      <c r="G34" s="184">
        <f t="shared" si="5"/>
        <v>0</v>
      </c>
      <c r="H34" s="184">
        <f t="shared" si="5"/>
        <v>0</v>
      </c>
      <c r="I34" s="184">
        <f t="shared" si="5"/>
        <v>0</v>
      </c>
      <c r="J34" s="184">
        <f t="shared" si="5"/>
        <v>0</v>
      </c>
      <c r="K34" s="185">
        <f t="shared" si="5"/>
        <v>0</v>
      </c>
    </row>
    <row r="35" spans="1:11" x14ac:dyDescent="0.45">
      <c r="A35" s="398" t="s">
        <v>65</v>
      </c>
      <c r="B35" s="138">
        <f>B7</f>
        <v>0</v>
      </c>
      <c r="C35" s="138">
        <f>C7</f>
        <v>0</v>
      </c>
      <c r="D35" s="138">
        <f>D7</f>
        <v>0</v>
      </c>
      <c r="E35" s="187">
        <f>E7</f>
        <v>0</v>
      </c>
      <c r="F35" s="186">
        <f t="shared" ref="F35:K35" si="6">F7+B27</f>
        <v>0</v>
      </c>
      <c r="G35" s="138">
        <f t="shared" si="6"/>
        <v>0</v>
      </c>
      <c r="H35" s="138">
        <f t="shared" si="6"/>
        <v>0</v>
      </c>
      <c r="I35" s="138">
        <f t="shared" si="6"/>
        <v>0</v>
      </c>
      <c r="J35" s="138">
        <f t="shared" si="6"/>
        <v>0</v>
      </c>
      <c r="K35" s="187">
        <f t="shared" si="6"/>
        <v>0</v>
      </c>
    </row>
    <row r="36" spans="1:11" ht="17" thickBot="1" x14ac:dyDescent="0.5">
      <c r="A36" s="401" t="s">
        <v>82</v>
      </c>
      <c r="B36" s="285"/>
      <c r="C36" s="285"/>
      <c r="D36" s="285"/>
      <c r="E36" s="286"/>
      <c r="F36" s="139">
        <f t="shared" ref="F36:K36" si="7">B27</f>
        <v>0</v>
      </c>
      <c r="G36" s="140">
        <f t="shared" si="7"/>
        <v>0</v>
      </c>
      <c r="H36" s="140">
        <f t="shared" si="7"/>
        <v>0</v>
      </c>
      <c r="I36" s="140">
        <f t="shared" si="7"/>
        <v>0</v>
      </c>
      <c r="J36" s="140">
        <f t="shared" si="7"/>
        <v>0</v>
      </c>
      <c r="K36" s="141">
        <f t="shared" si="7"/>
        <v>0</v>
      </c>
    </row>
    <row r="37" spans="1:11" x14ac:dyDescent="0.45">
      <c r="A37" s="424"/>
      <c r="B37" s="416"/>
      <c r="C37" s="416"/>
      <c r="D37" s="416"/>
      <c r="E37" s="416"/>
      <c r="F37" s="416"/>
      <c r="G37" s="416"/>
      <c r="H37" s="416"/>
      <c r="I37" s="416"/>
      <c r="J37" s="416"/>
      <c r="K37" s="423"/>
    </row>
    <row r="38" spans="1:11" ht="18" thickBot="1" x14ac:dyDescent="0.5">
      <c r="A38" s="535" t="s">
        <v>135</v>
      </c>
      <c r="B38" s="536"/>
      <c r="C38" s="536"/>
      <c r="D38" s="536"/>
      <c r="E38" s="536"/>
      <c r="F38" s="536"/>
      <c r="G38" s="536"/>
      <c r="H38" s="536"/>
      <c r="I38" s="536"/>
      <c r="J38" s="536"/>
      <c r="K38" s="537"/>
    </row>
    <row r="39" spans="1:11" x14ac:dyDescent="0.45">
      <c r="A39" s="330" t="s">
        <v>83</v>
      </c>
      <c r="B39" s="331">
        <f>B32</f>
        <v>0</v>
      </c>
      <c r="C39" s="331">
        <f t="shared" ref="C39:K39" si="8">B39+1</f>
        <v>1</v>
      </c>
      <c r="D39" s="331">
        <f t="shared" si="8"/>
        <v>2</v>
      </c>
      <c r="E39" s="332">
        <f t="shared" si="8"/>
        <v>3</v>
      </c>
      <c r="F39" s="333">
        <f t="shared" si="8"/>
        <v>4</v>
      </c>
      <c r="G39" s="331">
        <f t="shared" si="8"/>
        <v>5</v>
      </c>
      <c r="H39" s="331">
        <f t="shared" si="8"/>
        <v>6</v>
      </c>
      <c r="I39" s="331">
        <f t="shared" si="8"/>
        <v>7</v>
      </c>
      <c r="J39" s="331">
        <f t="shared" si="8"/>
        <v>8</v>
      </c>
      <c r="K39" s="332">
        <f t="shared" si="8"/>
        <v>9</v>
      </c>
    </row>
    <row r="40" spans="1:11" x14ac:dyDescent="0.45">
      <c r="A40" s="399" t="s">
        <v>84</v>
      </c>
      <c r="B40" s="293">
        <f>'4-Section d''Investissement'!B38</f>
        <v>0</v>
      </c>
      <c r="C40" s="293">
        <f>'4-Section d''Investissement'!C38</f>
        <v>0</v>
      </c>
      <c r="D40" s="293">
        <f>'4-Section d''Investissement'!D38</f>
        <v>0</v>
      </c>
      <c r="E40" s="294">
        <f>'4-Section d''Investissement'!E38</f>
        <v>0</v>
      </c>
      <c r="F40" s="180"/>
      <c r="G40" s="181"/>
      <c r="H40" s="181"/>
      <c r="I40" s="181"/>
      <c r="J40" s="181"/>
      <c r="K40" s="182"/>
    </row>
    <row r="41" spans="1:11" x14ac:dyDescent="0.45">
      <c r="A41" s="400" t="s">
        <v>81</v>
      </c>
      <c r="B41" s="295">
        <f>B6</f>
        <v>0</v>
      </c>
      <c r="C41" s="295">
        <f>C6</f>
        <v>0</v>
      </c>
      <c r="D41" s="295">
        <f>D6</f>
        <v>0</v>
      </c>
      <c r="E41" s="296">
        <f>E6</f>
        <v>0</v>
      </c>
      <c r="F41" s="386">
        <f t="shared" ref="F41:K41" si="9">F6+F42</f>
        <v>0</v>
      </c>
      <c r="G41" s="295">
        <f t="shared" si="9"/>
        <v>0</v>
      </c>
      <c r="H41" s="295">
        <f t="shared" si="9"/>
        <v>0</v>
      </c>
      <c r="I41" s="295">
        <f t="shared" si="9"/>
        <v>0</v>
      </c>
      <c r="J41" s="295">
        <f t="shared" si="9"/>
        <v>0</v>
      </c>
      <c r="K41" s="296">
        <f t="shared" si="9"/>
        <v>0</v>
      </c>
    </row>
    <row r="42" spans="1:11" ht="17" thickBot="1" x14ac:dyDescent="0.5">
      <c r="A42" s="402" t="s">
        <v>82</v>
      </c>
      <c r="B42" s="283"/>
      <c r="C42" s="283"/>
      <c r="D42" s="283"/>
      <c r="E42" s="284"/>
      <c r="F42" s="287"/>
      <c r="G42" s="288"/>
      <c r="H42" s="288"/>
      <c r="I42" s="288"/>
      <c r="J42" s="288"/>
      <c r="K42" s="289"/>
    </row>
    <row r="43" spans="1:11" x14ac:dyDescent="0.45">
      <c r="A43" s="398" t="s">
        <v>65</v>
      </c>
      <c r="B43" s="138">
        <f>B7</f>
        <v>0</v>
      </c>
      <c r="C43" s="138">
        <f>C7</f>
        <v>0</v>
      </c>
      <c r="D43" s="138">
        <f>D7</f>
        <v>0</v>
      </c>
      <c r="E43" s="187">
        <f>E7</f>
        <v>0</v>
      </c>
      <c r="F43" s="186">
        <f t="shared" ref="F43:K43" si="10">F7+F44</f>
        <v>0</v>
      </c>
      <c r="G43" s="138">
        <f t="shared" si="10"/>
        <v>0</v>
      </c>
      <c r="H43" s="138">
        <f t="shared" si="10"/>
        <v>0</v>
      </c>
      <c r="I43" s="138">
        <f t="shared" si="10"/>
        <v>0</v>
      </c>
      <c r="J43" s="138">
        <f t="shared" si="10"/>
        <v>0</v>
      </c>
      <c r="K43" s="187">
        <f t="shared" si="10"/>
        <v>0</v>
      </c>
    </row>
    <row r="44" spans="1:11" ht="17" thickBot="1" x14ac:dyDescent="0.5">
      <c r="A44" s="401" t="s">
        <v>82</v>
      </c>
      <c r="B44" s="285"/>
      <c r="C44" s="285"/>
      <c r="D44" s="285"/>
      <c r="E44" s="286"/>
      <c r="F44" s="290"/>
      <c r="G44" s="291"/>
      <c r="H44" s="291"/>
      <c r="I44" s="291"/>
      <c r="J44" s="291"/>
      <c r="K44" s="292"/>
    </row>
    <row r="45" spans="1:11" ht="33" customHeight="1" x14ac:dyDescent="0.45"/>
    <row r="46" spans="1:11" ht="17.25" hidden="1" customHeight="1" thickBot="1" x14ac:dyDescent="0.5">
      <c r="A46" s="1" t="s">
        <v>79</v>
      </c>
    </row>
    <row r="47" spans="1:11" ht="17.25" hidden="1" customHeight="1" thickBot="1" x14ac:dyDescent="0.55000000000000004">
      <c r="A47" s="1" t="s">
        <v>85</v>
      </c>
      <c r="F47" s="6">
        <f>F39</f>
        <v>4</v>
      </c>
      <c r="G47" s="4">
        <f>F47+1</f>
        <v>5</v>
      </c>
      <c r="H47" s="4">
        <f>G47+1</f>
        <v>6</v>
      </c>
      <c r="I47" s="4">
        <f>H47+1</f>
        <v>7</v>
      </c>
      <c r="J47" s="4">
        <f>I47+1</f>
        <v>8</v>
      </c>
      <c r="K47" s="5">
        <f>J47+1</f>
        <v>9</v>
      </c>
    </row>
    <row r="48" spans="1:11" hidden="1" x14ac:dyDescent="0.45">
      <c r="D48" s="14" t="s">
        <v>86</v>
      </c>
      <c r="E48" s="17"/>
      <c r="F48" s="23">
        <f>SUMIFS(F14,$B$29,$A$46)+SUMIFS(F40,$B$29,$A$47)</f>
        <v>0</v>
      </c>
      <c r="G48" s="23">
        <f>SUMIFS(G14,$B$29,$A$46)++SUMIFS(G40,$B$29,$A$47)</f>
        <v>0</v>
      </c>
      <c r="H48" s="23">
        <f>SUMIFS(H14,$B$29,$A$46)++SUMIFS(H40,$B$29,$A$47)</f>
        <v>0</v>
      </c>
      <c r="I48" s="23">
        <f>SUMIFS(I14,$B$29,$A$46)++SUMIFS(I40,$B$29,$A$47)</f>
        <v>0</v>
      </c>
      <c r="J48" s="23">
        <f>SUMIFS(J14,$B$29,$A$46)++SUMIFS(J40,$B$29,$A$47)</f>
        <v>0</v>
      </c>
      <c r="K48" s="24">
        <f>SUMIFS(K14,$B$29,$A$46)++SUMIFS(K40,$B$29,$A$47)</f>
        <v>0</v>
      </c>
    </row>
    <row r="49" spans="4:11" hidden="1" x14ac:dyDescent="0.45">
      <c r="D49" s="15" t="s">
        <v>87</v>
      </c>
      <c r="E49" s="18"/>
      <c r="F49" s="25">
        <f t="shared" ref="F49:K49" si="11">SUMIFS(F33,$B$29,$A$46)+SUMIFS(F41,$B$29,$A$47)</f>
        <v>0</v>
      </c>
      <c r="G49" s="25">
        <f t="shared" si="11"/>
        <v>0</v>
      </c>
      <c r="H49" s="25">
        <f t="shared" si="11"/>
        <v>0</v>
      </c>
      <c r="I49" s="25">
        <f t="shared" si="11"/>
        <v>0</v>
      </c>
      <c r="J49" s="25">
        <f t="shared" si="11"/>
        <v>0</v>
      </c>
      <c r="K49" s="26">
        <f t="shared" si="11"/>
        <v>0</v>
      </c>
    </row>
    <row r="50" spans="4:11" ht="17" hidden="1" thickBot="1" x14ac:dyDescent="0.5">
      <c r="D50" s="16" t="s">
        <v>88</v>
      </c>
      <c r="E50" s="19"/>
      <c r="F50" s="27">
        <f t="shared" ref="F50:K50" si="12">SUMIFS(F35,$B$29,$A$46)++SUMIFS(F43,$B$29,$A$47)</f>
        <v>0</v>
      </c>
      <c r="G50" s="27">
        <f t="shared" si="12"/>
        <v>0</v>
      </c>
      <c r="H50" s="27">
        <f t="shared" si="12"/>
        <v>0</v>
      </c>
      <c r="I50" s="27">
        <f t="shared" si="12"/>
        <v>0</v>
      </c>
      <c r="J50" s="27">
        <f t="shared" si="12"/>
        <v>0</v>
      </c>
      <c r="K50" s="28">
        <f t="shared" si="12"/>
        <v>0</v>
      </c>
    </row>
    <row r="51" spans="4:11" hidden="1" x14ac:dyDescent="0.45"/>
  </sheetData>
  <sheetProtection algorithmName="SHA-512" hashValue="2vRGNWyyS0251abJGri4VLj/BtZ3jLcHt+C0b/cJnONT4t+019DOyKSO+yULGGhZfxUrtXTOPHw7uh4Cp1C24Q==" saltValue="qsgtbU7uyvs4UbzdBa8beQ==" spinCount="100000" sheet="1" objects="1" scenarios="1" formatRows="0"/>
  <mergeCells count="9">
    <mergeCell ref="A1:K1"/>
    <mergeCell ref="B9:E16"/>
    <mergeCell ref="A38:K38"/>
    <mergeCell ref="A31:K31"/>
    <mergeCell ref="B4:E4"/>
    <mergeCell ref="F4:K4"/>
    <mergeCell ref="A2:J2"/>
    <mergeCell ref="A18:F18"/>
    <mergeCell ref="B29:C29"/>
  </mergeCells>
  <conditionalFormatting sqref="B29">
    <cfRule type="containsText" dxfId="1" priority="1" operator="containsText" text="Saisie manuelle">
      <formula>NOT(ISERROR(SEARCH("Saisie manuelle",B29)))</formula>
    </cfRule>
    <cfRule type="containsText" dxfId="0" priority="2" operator="containsText" text="Saisie automatique">
      <formula>NOT(ISERROR(SEARCH("Saisie automatique",B29)))</formula>
    </cfRule>
  </conditionalFormatting>
  <dataValidations count="1">
    <dataValidation type="list" allowBlank="1" showInputMessage="1" showErrorMessage="1" sqref="B45 B29" xr:uid="{CA5BA989-8613-4A02-811A-00B4DF3FD857}">
      <formula1>$A$46:$A$47</formula1>
    </dataValidation>
  </dataValidations>
  <pageMargins left="0.25" right="0.25"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0051-8A93-463A-BC4D-ECE74979FCCE}">
  <sheetPr codeName="Feuil6"/>
  <dimension ref="A1:J50"/>
  <sheetViews>
    <sheetView topLeftCell="A13" zoomScale="90" zoomScaleNormal="90" workbookViewId="0">
      <selection activeCell="A36" sqref="A36:D36"/>
    </sheetView>
  </sheetViews>
  <sheetFormatPr baseColWidth="10" defaultColWidth="11.54296875" defaultRowHeight="16.5" x14ac:dyDescent="0.45"/>
  <cols>
    <col min="1" max="1" width="34.1796875" style="93" bestFit="1" customWidth="1"/>
    <col min="2" max="2" width="11.453125" style="93" customWidth="1"/>
    <col min="3" max="3" width="25.1796875" style="93" customWidth="1"/>
    <col min="4" max="4" width="27.54296875" style="93" customWidth="1"/>
    <col min="5" max="5" width="24.26953125" style="93" customWidth="1"/>
    <col min="6" max="16384" width="11.54296875" style="93"/>
  </cols>
  <sheetData>
    <row r="1" spans="1:5" ht="20" x14ac:dyDescent="0.55000000000000004">
      <c r="A1" s="591" t="str">
        <f>"RAPPORT D'ANALYSE / " &amp;'1-Informations-paramètres '!C7</f>
        <v xml:space="preserve">RAPPORT D'ANALYSE / </v>
      </c>
      <c r="B1" s="591"/>
      <c r="C1" s="591"/>
      <c r="D1" s="591"/>
    </row>
    <row r="2" spans="1:5" hidden="1" x14ac:dyDescent="0.45">
      <c r="A2" s="119" t="s">
        <v>89</v>
      </c>
      <c r="B2" s="119" t="s">
        <v>94</v>
      </c>
    </row>
    <row r="3" spans="1:5" hidden="1" x14ac:dyDescent="0.45">
      <c r="A3" s="124" t="str">
        <f>'1-Informations-paramètres '!C10</f>
        <v>en milliers d'euros</v>
      </c>
      <c r="B3" s="148" t="str">
        <f>_xlfn.IFS(A3="en milliers d'euros","K€",A3="en euros","euros",A3="en millions d'euros","M€")</f>
        <v>K€</v>
      </c>
    </row>
    <row r="4" spans="1:5" hidden="1" x14ac:dyDescent="0.45">
      <c r="A4" s="124" t="s">
        <v>92</v>
      </c>
      <c r="B4" s="149">
        <f>'1-Informations-paramètres '!C14-'4-Section d''Investissement'!E52</f>
        <v>0</v>
      </c>
    </row>
    <row r="5" spans="1:5" x14ac:dyDescent="0.45">
      <c r="A5" s="354"/>
      <c r="B5" s="355"/>
    </row>
    <row r="6" spans="1:5" ht="2.25" hidden="1" customHeight="1" x14ac:dyDescent="0.45">
      <c r="A6" s="595" t="str">
        <f>"Les montants ci-dessous sont exprimés " &amp; '1-Informations-paramètres '!C10 &amp;"."</f>
        <v>Les montants ci-dessous sont exprimés en milliers d'euros.</v>
      </c>
      <c r="B6" s="595"/>
      <c r="C6" s="595"/>
      <c r="D6" s="595"/>
    </row>
    <row r="7" spans="1:5" ht="22.5" customHeight="1" x14ac:dyDescent="0.45">
      <c r="A7" s="599" t="str">
        <f>"SANTE FINANCIERE AU 31/12/" &amp;'2-Section de Fonctionnement'!F9 &amp;" (RETROSPECTIVE)"</f>
        <v>SANTE FINANCIERE AU 31/12/3 (RETROSPECTIVE)</v>
      </c>
      <c r="B7" s="600"/>
      <c r="C7" s="600"/>
      <c r="D7" s="601"/>
    </row>
    <row r="8" spans="1:5" ht="17" thickBot="1" x14ac:dyDescent="0.5">
      <c r="A8" s="558" t="str">
        <f>"Les données présentées concernent la période du 01/01/" &amp;'2-Section de Fonctionnement'!C9 &amp;" au 31/12/" &amp;'2-Section de Fonctionnement'!F9 &amp;"."</f>
        <v>Les données présentées concernent la période du 01/01/0 au 31/12/3.</v>
      </c>
      <c r="B8" s="559"/>
      <c r="C8" s="559"/>
      <c r="D8" s="560"/>
    </row>
    <row r="9" spans="1:5" ht="22.5" customHeight="1" x14ac:dyDescent="0.45">
      <c r="A9" s="592" t="s">
        <v>90</v>
      </c>
      <c r="B9" s="593"/>
      <c r="C9" s="593"/>
      <c r="D9" s="594"/>
    </row>
    <row r="10" spans="1:5" s="95" customFormat="1" ht="34.5" customHeight="1" x14ac:dyDescent="0.45">
      <c r="A10" s="549" t="str">
        <f>IFERROR("En " &amp;'2-Section de Fonctionnement'!F9 &amp;", les dépenses réelles de fonctionnement atteignent " &amp;TEXT('2-Section de Fonctionnement'!F10,"# ##0") &amp;B3 &amp;" et les recettes " &amp;TEXT('2-Section de Fonctionnement'!F29,"# ##0") &amp;B3 &amp;".", "Complétez conformément toutes les données nécessaires des onglets précédents afin de pouvoir éditer l'ensemble des éléments du rapport")</f>
        <v>En 3, les dépenses réelles de fonctionnement atteignent 0K€ et les recettes 0K€.</v>
      </c>
      <c r="B10" s="550"/>
      <c r="C10" s="550"/>
      <c r="D10" s="551"/>
    </row>
    <row r="11" spans="1:5" s="95" customFormat="1" ht="20.25" customHeight="1" x14ac:dyDescent="0.45">
      <c r="A11" s="549" t="str">
        <f>IFERROR("La section de fonctionnement dégage un autofinancement récurrent de "&amp;TEXT('2-Section de Fonctionnement'!F48,"# ##0")&amp;B3&amp;".","Complétez conformément toutes les données nécessaires des onglets précédents afin de pouvoir éditer l'ensemble des éléments du rapport")</f>
        <v>La section de fonctionnement dégage un autofinancement récurrent de 0K€.</v>
      </c>
      <c r="B11" s="550"/>
      <c r="C11" s="550"/>
      <c r="D11" s="551"/>
    </row>
    <row r="12" spans="1:5" s="95" customFormat="1" ht="63.75" customHeight="1" x14ac:dyDescent="0.45">
      <c r="A12" s="549" t="str" cm="1">
        <f t="array" ref="A12">IFERROR("Après remboursement des échéances de la dette, l'autofinancement net (épargne nette), atteint "&amp;TEXT('2-Section de Fonctionnement'!F49,"# ##0") &amp;B3 &amp;"." &amp;_xlfn.IFS('2-Section de Fonctionnement'!F49&gt;0," La collectivité dipose donc d'une marge de manœuvre suffisante pour répondre au remboursement de sa dette.",'2-Section de Fonctionnement'!F49&lt;0, " L'autofinancement net est négatif, l'équilibre financier n'est pas atteint. La situation est ainsi préoccupante."),"Complétez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12" s="550"/>
      <c r="C12" s="550"/>
      <c r="D12" s="551"/>
      <c r="E12" s="120"/>
    </row>
    <row r="13" spans="1:5" ht="50.15" customHeight="1" x14ac:dyDescent="0.45">
      <c r="A13" s="549" t="str">
        <f>IFERROR(IF('2-Section de Fonctionnement'!F48&gt;='2-Section de Fonctionnement'!C48,"L'évolution des recettes récurrentes de fonctionnement a été plus importante que celle des dépenses, sur la période.","L'évolution (en %) des dépenses récurrentes de fonctionnement a été plus importante que celle des recettes, sur la période.") &amp;" Les dépenses ont évolué de " &amp;TEXT('2-Section de Fonctionnement'!F10-'2-Section de Fonctionnement'!C10,"# ##0") &amp;B3 &amp;". Les recettes ont évolué de " &amp;TEXT('2-Section de Fonctionnement'!F29-'2-Section de Fonctionnement'!C29,"# ##0") &amp;B3 &amp;".","Complétez conformément toutes les données nécessaires des onglets précédents afin de pouvoir éditer l'ensemble des éléments du rapport")</f>
        <v>L'évolution des recettes récurrentes de fonctionnement a été plus importante que celle des dépenses, sur la période. Les dépenses ont évolué de 0K€. Les recettes ont évolué de 0K€.</v>
      </c>
      <c r="B13" s="550"/>
      <c r="C13" s="550"/>
      <c r="D13" s="551"/>
      <c r="E13" s="334"/>
    </row>
    <row r="14" spans="1:5" ht="55.5" customHeight="1" x14ac:dyDescent="0.45">
      <c r="A14" s="549" t="str" cm="1">
        <f t="array" ref="A14">IFERROR("Le taux d'épargne brute (ratio entre l'autofinancement et les recettes réelles de fonctionnement) est de " &amp;TEXT('2-Section de Fonctionnement'!F50,"0,0%")*100 &amp;"% " &amp;_xlfn.IFS('2-Section de Fonctionnement'!F50&lt;0," Ce taux est critique et négatif. Il est nécessaire de dégager une marge de manœuvre de "&amp;TEXT((SUMIFS('2-Section de Fonctionnement'!F30:F43,'2-Section de Fonctionnement'!$B$30:$B$43,"Oui"))*0.1-'2-Section de Fonctionnement'!F47,"0") &amp;B3 &amp;" pour atteindre un taux d'épargne de 10%.",'2-Section de Fonctionnement'!F50&lt;10%," Ce taux est trop juste. Il est nécessaire de dégager une marge de manœuvre de "&amp;TEXT((SUMIFS('2-Section de Fonctionnement'!F30:F43,'2-Section de Fonctionnement'!$B$30:$B$43,"Oui"))*0.1-'2-Section de Fonctionnement'!F47,"0") &amp;B3 &amp;" pour atteindre un taux d'épargne de 10%.", '2-Section de Fonctionnement'!F50&gt;10%, ". Ce taux est satisfaisant."),"Complétez conformément toutes les données nécessaires des onglets précédents afin de pouvoir éditer l'ensemble des éléments du rapport")</f>
        <v>Le taux d'épargne brute (ratio entre l'autofinancement et les recettes réelles de fonctionnement) est de 0%  Ce taux est trop juste. Il est nécessaire de dégager une marge de manœuvre de 0K€ pour atteindre un taux d'épargne de 10%.</v>
      </c>
      <c r="B14" s="550"/>
      <c r="C14" s="550"/>
      <c r="D14" s="551"/>
      <c r="E14" s="145"/>
    </row>
    <row r="15" spans="1:5" ht="41.25" customHeight="1" x14ac:dyDescent="0.45">
      <c r="A15" s="596" t="str">
        <f>"Le fait d'avoir un taux d'épargne suppérieur à 10% permet à la collectivité d'envisager de développer des projets ou services"</f>
        <v>Le fait d'avoir un taux d'épargne suppérieur à 10% permet à la collectivité d'envisager de développer des projets ou services</v>
      </c>
      <c r="B15" s="597"/>
      <c r="C15" s="597"/>
      <c r="D15" s="598"/>
      <c r="E15" s="339"/>
    </row>
    <row r="16" spans="1:5" ht="75" customHeight="1" x14ac:dyDescent="0.45">
      <c r="A16" s="567" t="str">
        <f>IFERROR("Les trois postes de dépenses les plus importants sont : 
1) "&amp;INDEX('2-Section de Fonctionnement'!A11:A26,MATCH(LARGE('2-Section de Fonctionnement'!F11:F26,1),'2-Section de Fonctionnement'!F11:F26,0))&amp;" "&amp;TEXT(LARGE('2-Section de Fonctionnement'!F11:F26,1),"# ##0")&amp;B3 &amp;", 
2) "&amp;INDEX('2-Section de Fonctionnement'!A11:A26,MATCH(LARGE('2-Section de Fonctionnement'!F11:F26,2),'2-Section de Fonctionnement'!F11:F26,0))&amp;" "&amp;TEXT(LARGE('2-Section de Fonctionnement'!F11:F26,2),"# ##0")&amp;B3 &amp;", 
3) "&amp;INDEX('2-Section de Fonctionnement'!A11:A26,MATCH(LARGE('2-Section de Fonctionnement'!F11:F26,3),'2-Section de Fonctionnement'!F11:F26,0))&amp;" "&amp;TEXT(LARGE('2-Section de Fonctionnement'!F11:F26,3),"# ##0")&amp;B3 &amp;". ","Complétez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16" s="568"/>
      <c r="C16" s="568"/>
      <c r="D16" s="569"/>
    </row>
    <row r="17" spans="1:6" ht="74.25" customHeight="1" x14ac:dyDescent="0.45">
      <c r="A17" s="549" t="str">
        <f>IFERROR("Les trois postes de dépenses ayant le plus évolué sont "&amp;" les 
1) "&amp;INDEX('2-Section de Fonctionnement'!A11:A26,MATCH(LARGE('2-Section de Fonctionnement'!O11:O26,1),'2-Section de Fonctionnement'!O11:O26,0))&amp;" "&amp;TEXT(LARGE('2-Section de Fonctionnement'!O11:O26,1),"0,0%") &amp;", "&amp;"
2) "&amp;INDEX('2-Section de Fonctionnement'!A11:A26,MATCH(LARGE('2-Section de Fonctionnement'!O11:O26,2),'2-Section de Fonctionnement'!O11:O26,0))&amp;" "&amp;TEXT(LARGE('2-Section de Fonctionnement'!O11:O26,2),"0,0%") &amp;",
3) "&amp;INDEX('2-Section de Fonctionnement'!A11:A26,MATCH(LARGE('2-Section de Fonctionnement'!O11:O26,3),'2-Section de Fonctionnement'!O11:O26,0))&amp;" "&amp;TEXT(LARGE('2-Section de Fonctionnement'!O11:O26,3),"0,0%") &amp;". ","Complétez conformément toutes les données nécessaires des onglets précédents afin de pouvoir éditer l'ensemble des éléments du rapport")</f>
        <v xml:space="preserve">Les trois postes de dépenses ayant le plus évolué sont  les 
1) Charges de personnel 0,0%, 
2) Charges de personnel 0,0%,
3) Charges de personnel 0,0%. </v>
      </c>
      <c r="B17" s="550"/>
      <c r="C17" s="550"/>
      <c r="D17" s="551"/>
      <c r="E17" s="334"/>
      <c r="F17" s="335"/>
    </row>
    <row r="18" spans="1:6" ht="75" customHeight="1" x14ac:dyDescent="0.45">
      <c r="A18" s="567" t="str">
        <f>IFERROR("Les trois postes de recettes les plus importants sont : 
1) le produit de " &amp; INDEX('2-Section de Fonctionnement'!A30:A44,MATCH(LARGE('2-Section de Fonctionnement'!F30:F44,1),'2-Section de Fonctionnement'!F30:F44,0)) &amp; " " &amp; TEXT(LARGE('2-Section de Fonctionnement'!F30:F44,1),"# ##0") &amp; B3 &amp; ", 
2) le produit de " &amp; INDEX('2-Section de Fonctionnement'!A30:A44,MATCH(LARGE('2-Section de Fonctionnement'!F30:F44,2),'2-Section de Fonctionnement'!F30:F44,0)) &amp; " " &amp; TEXT(LARGE('2-Section de Fonctionnement'!F30:F44,2),"# ##0") &amp; B3 &amp; ", 
3) le produit de " &amp; INDEX('2-Section de Fonctionnement'!A30:A44,MATCH(LARGE('2-Section de Fonctionnement'!F30:F44,3),'2-Section de Fonctionnement'!F30:F44,0)) &amp; " " &amp; TEXT(LARGE('2-Section de Fonctionnement'!F30:F44,3),"# ##0") &amp; B3 &amp; ".","Complétez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18" s="568"/>
      <c r="C18" s="568"/>
      <c r="D18" s="569"/>
      <c r="E18" s="334"/>
    </row>
    <row r="19" spans="1:6" ht="75.75" customHeight="1" thickBot="1" x14ac:dyDescent="0.5">
      <c r="A19" s="552" t="str">
        <f>IFERROR("Les trois postes de recette ayant le plus évolué sont : 
1) " &amp; INDEX('2-Section de Fonctionnement'!A30:A44,MATCH(LARGE('2-Section de Fonctionnement'!O30:O44,1),'2-Section de Fonctionnement'!O30:O44,0)) &amp; " " &amp; TEXT(LARGE('2-Section de Fonctionnement'!O30:O44,1),"0,0%") &amp; ", 
2) " &amp; INDEX('2-Section de Fonctionnement'!A30:A44,MATCH(LARGE('2-Section de Fonctionnement'!O30:O44,2),'2-Section de Fonctionnement'!O30:O44,0)) &amp; " " &amp; TEXT(LARGE('2-Section de Fonctionnement'!O30:O44,2),"0,0%") &amp; ", 
3) " &amp; INDEX('2-Section de Fonctionnement'!A30:A44,MATCH(LARGE('2-Section de Fonctionnement'!O30:O44,3),'2-Section de Fonctionnement'!O30:O44,0)) &amp; " " &amp; TEXT(LARGE('2-Section de Fonctionnement'!O30:O44,3),"0,0%") &amp; ".","Complétez conformément toutes les données nécessaires des onglets précédents afin de pouvoir éditer l'ensemble des éléments du rapport")</f>
        <v>Les trois postes de recette ayant le plus évolué sont : 
1)  0,0%, 
2)  0,0%, 
3)  0,0%.</v>
      </c>
      <c r="B19" s="553"/>
      <c r="C19" s="553"/>
      <c r="D19" s="554"/>
      <c r="E19" s="122"/>
    </row>
    <row r="20" spans="1:6" ht="28.9" customHeight="1" x14ac:dyDescent="0.45">
      <c r="A20" s="592" t="s">
        <v>91</v>
      </c>
      <c r="B20" s="593"/>
      <c r="C20" s="593"/>
      <c r="D20" s="594"/>
      <c r="E20" s="121"/>
    </row>
    <row r="21" spans="1:6" ht="39" customHeight="1" x14ac:dyDescent="0.45">
      <c r="A21" s="561" t="str">
        <f>IFERROR("Les dépenses d'investissement (hors remboursement d'emprunt) s'élèvent à " &amp;TEXT(SUM('4-Section d''Investissement'!B15:E15)-SUM('4-Section d''Investissement'!B16:E16),"# ##0") &amp;B3 &amp;" sur la période " &amp;'2-Section de Fonctionnement'!C9 &amp;"/" &amp;'2-Section de Fonctionnement'!F9 &amp;".","Complétez conformément toutes les données nécessaires des onglets précédents afin de pouvoir éditer l'ensemble des éléments du rapport")</f>
        <v>Les dépenses d'investissement (hors remboursement d'emprunt) s'élèvent à 0K€ sur la période 0/3.</v>
      </c>
      <c r="B21" s="562"/>
      <c r="C21" s="562"/>
      <c r="D21" s="563"/>
      <c r="E21" s="144"/>
    </row>
    <row r="22" spans="1:6" ht="75.75" customHeight="1" x14ac:dyDescent="0.45">
      <c r="A22" s="549" t="str" cm="1">
        <f t="array" ref="A22">IFERROR("L'encours de dette est de " &amp;TEXT('4-Section d''Investissement'!E52,"# ##0") &amp;B3 &amp;". "  &amp;_xlfn.IFS(B4&lt;0,"Il a augmenté de ",B4&gt;0, "Il a diminué de ") &amp;TEXT('4-Section d''Investissement'!E52-'1-Informations-paramètres '!C14,"# ##0") &amp;B3 &amp;" sur la période. " &amp;"La Collectivité mettrait " &amp;TEXT('4-Section d''Investissement'!E55,"0,0") &amp;" années à rembourser sa dette si elle y conscrait la totalité de son autofinancement (capacité dynamqiue de désendettement)" &amp;". " &amp;_xlfn.IFS('4-Section d''Investissement'!E55&lt;0,"Il s'agit d'une situation critique ; la collectivé ne dispose pas des moyens suffisants pour rembourser sa dette",'4-Section d''Investissement'!E55&lt;5,"Il s'agit d'une situation très satisfaisante", '4-Section d''Investissement'!E55&lt;8,"Il s'agit d'une situation qui reste conforme", '4-Section d''Investissement'!E55&lt;12,"Il s'agit d'une situation qui nécessite une vigilance particulière" )&amp;".","Complétez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22" s="550"/>
      <c r="C22" s="550"/>
      <c r="D22" s="551"/>
      <c r="E22" s="122"/>
    </row>
    <row r="23" spans="1:6" ht="35.25" customHeight="1" x14ac:dyDescent="0.45">
      <c r="A23" s="564" t="str">
        <f>"Le seuil de vigilance pour cet indicateur est de 8 années de remboursement et le seuil de dangerosité est de 12 années."</f>
        <v>Le seuil de vigilance pour cet indicateur est de 8 années de remboursement et le seuil de dangerosité est de 12 années.</v>
      </c>
      <c r="B23" s="565"/>
      <c r="C23" s="565"/>
      <c r="D23" s="566"/>
    </row>
    <row r="24" spans="1:6" ht="28.5" customHeight="1" x14ac:dyDescent="0.45">
      <c r="A24" s="561" t="str">
        <f>IFERROR("L'encours de dette par habitant est de " &amp;TEXT('4-Section d''Investissement'!E54,"# ##0") &amp;B3 &amp;".","Complétez conformément toutes les données nécessaires des onglets précédents afin de pouvoir éditer l'ensemble des éléments du rapport")</f>
        <v>L'encours de dette par habitant est de 0K€.</v>
      </c>
      <c r="B24" s="562"/>
      <c r="C24" s="562"/>
      <c r="D24" s="563"/>
    </row>
    <row r="25" spans="1:6" ht="48" customHeight="1" thickBot="1" x14ac:dyDescent="0.5">
      <c r="A25" s="561" t="str" cm="1">
        <f t="array" ref="A25">IFERROR("La collectivité dispose d'un fonds de roulement de " &amp;TEXT('4-Section d''Investissement'!E49,"# ##0") &amp;B3 &amp;". " &amp;_xlfn.IFS('4-Section d''Investissement'!E49&gt;('2-Section de Fonctionnement'!F10-SUMIFS('2-Section de Fonctionnement'!F11:F25,'2-Section de Fonctionnement'!$B$11:$B$25,"Non"))/2,"Il est confortable, ce qui permet de faire face à l'équivalent de 6 mois de dépenses de fonctionnement.",'4-Section d''Investissement'!E49&gt;'2-Section de Fonctionnement'!F10-SUMIFS('2-Section de Fonctionnement'!F11:F25,'2-Section de Fonctionnement'!$B$11:$B$25,"Non"), "il est conséquent car il équivaut à une année entière de dépenses de fonctionnement",'4-Section d''Investissement'!E49&gt;('2-Section de Fonctionnement'!F10-SUMIFS('2-Section de Fonctionnement'!F11:F25,'2-Section de Fonctionnement'!$B$11:$B$25,"Non"))/3, "Il permet de financement au mois de 4 mois de dépenses de fonctionnement de l'année. C'est une situation conforme mais peu confortable.", '4-Section d''Investissement'!E49&lt;0, "Il est négatif, illustrant une situation périlleuse nécessitant une vigilance sur la trésorerie et le recours à un financement externe.", '4-Section d''Investissement'!E49&gt;0, "Le fonds de roulement ne représente que quelques mois de dépenses de fonctionnement. La situation n'est pas confortable et doit faire l'objet d'un suivi régulier."),"Complétez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25" s="562"/>
      <c r="C25" s="562"/>
      <c r="D25" s="563"/>
      <c r="E25" s="144"/>
    </row>
    <row r="26" spans="1:6" ht="29.25" customHeight="1" x14ac:dyDescent="0.45">
      <c r="A26" s="588" t="s">
        <v>115</v>
      </c>
      <c r="B26" s="589"/>
      <c r="C26" s="589"/>
      <c r="D26" s="590"/>
      <c r="E26" s="144"/>
    </row>
    <row r="27" spans="1:6" ht="114" customHeight="1" thickBot="1" x14ac:dyDescent="0.5">
      <c r="A27" s="585" t="s">
        <v>134</v>
      </c>
      <c r="B27" s="586"/>
      <c r="C27" s="586"/>
      <c r="D27" s="587"/>
      <c r="E27" s="144"/>
    </row>
    <row r="28" spans="1:6" ht="30.75" hidden="1" customHeight="1" x14ac:dyDescent="0.45">
      <c r="A28" s="561"/>
      <c r="B28" s="562"/>
      <c r="C28" s="562"/>
      <c r="D28" s="563"/>
      <c r="E28" s="144"/>
    </row>
    <row r="29" spans="1:6" ht="33.65" hidden="1" customHeight="1" x14ac:dyDescent="0.45">
      <c r="A29" s="125">
        <f>'1-Informations-paramètres '!C49</f>
        <v>0</v>
      </c>
      <c r="B29" s="126">
        <f>'1-Informations-paramètres '!C48</f>
        <v>0</v>
      </c>
      <c r="E29" s="96"/>
      <c r="F29" s="96"/>
    </row>
    <row r="30" spans="1:6" hidden="1" x14ac:dyDescent="0.45">
      <c r="A30" s="147" t="s">
        <v>93</v>
      </c>
      <c r="B30" s="127" t="str">
        <f>TEXT(INDEX('4-Section d''Investissement'!B52:L52,MATCH(A29,'4-Section d''Investissement'!B14:L14,0))-INDEX('4-Section d''Investissement'!B52:L52,MATCH(B29,'4-Section d''Investissement'!B14:L14,0)),"# ##0")</f>
        <v>0</v>
      </c>
      <c r="E30" s="94"/>
    </row>
    <row r="31" spans="1:6" ht="17" thickBot="1" x14ac:dyDescent="0.5">
      <c r="A31" s="120"/>
      <c r="B31" s="120"/>
      <c r="C31" s="120"/>
      <c r="D31" s="120"/>
      <c r="E31" s="120"/>
    </row>
    <row r="32" spans="1:6" ht="24" customHeight="1" x14ac:dyDescent="0.45">
      <c r="A32" s="573" t="str">
        <f>"ANALYSE PERIODE " &amp;'1-Informations-paramètres '!C48&amp;"/"&amp;'1-Informations-paramètres '!C49&amp;" -- " &amp;'1-Informations-paramètres '!C7</f>
        <v xml:space="preserve">ANALYSE PERIODE / -- </v>
      </c>
      <c r="B32" s="574"/>
      <c r="C32" s="574"/>
      <c r="D32" s="575"/>
    </row>
    <row r="33" spans="1:10" ht="20.25" customHeight="1" x14ac:dyDescent="0.45">
      <c r="A33" s="579" t="str">
        <f>"Les données présentées concernent la période du 01/01/"&amp;'1-Informations-paramètres '!C48&amp;" au 31/12/"&amp;'1-Informations-paramètres '!C49&amp;"."</f>
        <v>Les données présentées concernent la période du 01/01/ au 31/12/.</v>
      </c>
      <c r="B33" s="580"/>
      <c r="C33" s="580"/>
      <c r="D33" s="581"/>
    </row>
    <row r="34" spans="1:10" ht="16.899999999999999" customHeight="1" x14ac:dyDescent="0.45">
      <c r="A34" s="576" t="s">
        <v>90</v>
      </c>
      <c r="B34" s="577"/>
      <c r="C34" s="577"/>
      <c r="D34" s="578"/>
    </row>
    <row r="35" spans="1:10" ht="34.5" customHeight="1" x14ac:dyDescent="0.45">
      <c r="A35" s="582" t="str">
        <f>IFERROR("En " &amp;'1-Informations-paramètres '!C49 &amp;", les dépenses réelles de fonctionnement atteignent " &amp;TEXT(INDEX('2-Section de Fonctionnement'!H10:M10,MATCH(A29,'2-Section de Fonctionnement'!H9:M9,0)),"# ##0") &amp;B3 &amp;" et les recettes " &amp;TEXT(INDEX('2-Section de Fonctionnement'!H29:M29,MATCH(A29,'2-Section de Fonctionnement'!H9:M9,0)),"# ##0") &amp;B3 &amp;".","Complétez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35" s="583"/>
      <c r="C35" s="583"/>
      <c r="D35" s="584"/>
    </row>
    <row r="36" spans="1:10" ht="21.75" customHeight="1" x14ac:dyDescent="0.45">
      <c r="A36" s="549" t="str">
        <f>IFERROR("La section de fonctionnement dégage un autofinancement de " &amp;TEXT(INDEX('2-Section de Fonctionnement'!H47:M47,MATCH(A29,'2-Section de Fonctionnement'!H9:M9,0)),"# ##0") &amp;B3 &amp;".","Complétez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36" s="550"/>
      <c r="C36" s="550"/>
      <c r="D36" s="551"/>
    </row>
    <row r="37" spans="1:10" ht="71.25" customHeight="1" x14ac:dyDescent="0.45">
      <c r="A37" s="549" t="str" cm="1">
        <f t="array" ref="A37">IFERROR("Après remboursement des échéances de la dette, l'autofinancement net (épargne nette), atteint "&amp;TEXT(INDEX('2-Section de Fonctionnement'!I49:M49,MATCH(A29,'2-Section de Fonctionnement'!I9:M9,0)),"# ##0") &amp;B3 &amp;"." &amp;_xlfn.IFS(INDEX('2-Section de Fonctionnement'!I49:M49,MATCH(A29,'2-Section de Fonctionnement'!I9:M9,0))&gt;0," La collectivité dipose donc d'une marge de manœuvre suffisante pour répondre au remboursement de sa dette.",INDEX('2-Section de Fonctionnement'!I49:M49,MATCH(A29,'2-Section de Fonctionnement'!I9:M9,0))&lt;0, " L'autofinancement net est négatif, l'équilibre financier n'est pas atteint. La situation est ainsi préoccupante."),"Complétez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37" s="550"/>
      <c r="C37" s="550"/>
      <c r="D37" s="551"/>
    </row>
    <row r="38" spans="1:10" ht="73.5" customHeight="1" x14ac:dyDescent="0.45">
      <c r="A38" s="549" t="str">
        <f>IFERROR(IF(INDEX('2-Section de Fonctionnement'!C48:M48,MATCH(A29,'2-Section de Fonctionnement'!C9:M9,0))&gt;INDEX('2-Section de Fonctionnement'!C47:M47,MATCH(B29,'2-Section de Fonctionnement'!C9:M9,0)),"L'évolution (en%) des recettes récurrentes de fonctionnement a été plus importante que celle des dépenses, sur la période. ","L'évolution (en %) des dépenses récurrentes de fonctionnement a été plus importante que celle des recettes, sur la période.") &amp;" Les dépenses ont évolué de " &amp;TEXT(INDEX('2-Section de Fonctionnement'!C10:M10,MATCH(A29,'2-Section de Fonctionnement'!C9:M9,0))-INDEX('2-Section de Fonctionnement'!C10:M10,MATCH(B29,'2-Section de Fonctionnement'!C9:M9,0)),"# ##0") &amp;B3 &amp;". Les recettes ont évolué de " &amp;TEXT(INDEX('2-Section de Fonctionnement'!C29:M29,MATCH(A29,'2-Section de Fonctionnement'!C9:M9,0))-INDEX('2-Section de Fonctionnement'!C29:M29,MATCH(B29,'2-Section de Fonctionnement'!C9:M9,0)),"# ##0") &amp;B3 &amp;" sur la période " &amp;B29 &amp;"/" &amp;A29 &amp;".","Complétez conformément toutes les données nécessaires des onglets précédents afin de pouvoir éditer l'ensemble des éléments du rapport")</f>
        <v>L'évolution (en %) des dépenses récurrentes de fonctionnement a été plus importante que celle des recettes, sur la période. Les dépenses ont évolué de 0K€. Les recettes ont évolué de 0K€ sur la période 0/0.</v>
      </c>
      <c r="B38" s="550"/>
      <c r="C38" s="550"/>
      <c r="D38" s="551"/>
      <c r="E38" s="188"/>
    </row>
    <row r="39" spans="1:10" ht="50.25" customHeight="1" x14ac:dyDescent="0.45">
      <c r="A39" s="570" t="str" cm="1">
        <f t="array" ref="A39">IFERROR(
"Le taux d'épargne brute de " &amp;
TEXT(INDEX('2-Section de Fonctionnement'!H50:M50, MATCH(A29, '2-Section de Fonctionnement'!H9:M9, 0)), "0,0%") &amp;
_xlfn.IFS(
  INDEX('2-Section de Fonctionnement'!H50:M50, MATCH(A29, '2-Section de Fonctionnement'!H9:M9, 0)) &lt; 0,
    "Ce taux est critique et négatif. Il est nécessaire de dégager une marge de manœuvre de " &amp;
    TEXT((INDEX('2-Section de Fonctionnement'!H29:M29, MATCH(A29, '2-Section de Fonctionnement'!H9:M9, 0)) * 0.1) - INDEX('2-Section de Fonctionnement'!H47:M47, MATCH(A29, '2-Section de Fonctionnement'!H9:M9, 0)), "# ##0") &amp; B3 &amp;
    " pour atteindre un taux d'épargne de 10%.",
  INDEX('2-Section de Fonctionnement'!H50:M50, MATCH(A29, '2-Section de Fonctionnement'!H9:M9, 0)) &lt; 0.1,
    "Ce taux est trop juste. Il est nécessaire de dégager une marge de manœuvre de " &amp;
    TEXT((INDEX('2-Section de Fonctionnement'!H29:M29, MATCH(A29, '2-Section de Fonctionnement'!H9:M9, 0)) * 0.1) - INDEX('2-Section de Fonctionnement'!H47:M47, MATCH(A29, '2-Section de Fonctionnement'!H9:M9, 0)), "# ##0") &amp; B3 &amp;
    " pour atteindre un taux d'épargne de 10%.",
  INDEX('2-Section de Fonctionnement'!H50:M50, MATCH(A29, '2-Section de Fonctionnement'!H9:M9, 0)) &gt;= 0.1,
    ". Ce taux est satisfaisant."
),
"Complétez conformément toutes les données nécessaires des onglets précédents afin de pouvoir éditer l'ensemble des éléments du rapport"
)</f>
        <v>Complétez conformément toutes les données nécessaires des onglets précédents afin de pouvoir éditer l'ensemble des éléments du rapport</v>
      </c>
      <c r="B39" s="571"/>
      <c r="C39" s="571"/>
      <c r="D39" s="572"/>
      <c r="E39" s="387"/>
      <c r="F39" s="388"/>
      <c r="G39" s="388"/>
      <c r="H39" s="388"/>
      <c r="I39" s="388"/>
      <c r="J39" s="388"/>
    </row>
    <row r="40" spans="1:10" ht="75" customHeight="1" x14ac:dyDescent="0.45">
      <c r="A40" s="549" t="str">
        <f>IFERROR("Les trois postes de dépenses ayant le plus évolué sont : 
1) " &amp; INDEX('2-Section de Fonctionnement'!A11:A26,MATCH(LARGE('2-Section de Fonctionnement'!Q11:Q26,1),'2-Section de Fonctionnement'!Q11:Q26,0)) &amp; " (+" &amp; TEXT(LARGE('2-Section de Fonctionnement'!Q11:Q26,1),"0,0%") &amp; "), 
2) " &amp; INDEX('2-Section de Fonctionnement'!A11:A26,MATCH(LARGE('2-Section de Fonctionnement'!Q11:Q26,2),'2-Section de Fonctionnement'!Q11:Q26,0)) &amp; " (+" &amp; TEXT(LARGE('2-Section de Fonctionnement'!Q11:Q26,2),"0,0%") &amp; "), 
3) " &amp; INDEX('2-Section de Fonctionnement'!A11:A26,MATCH(LARGE('2-Section de Fonctionnement'!Q11:Q26,3),'2-Section de Fonctionnement'!Q11:Q26,0)) &amp; " (+" &amp; TEXT(LARGE('2-Section de Fonctionnement'!Q11:Q26,3),"0,0%") &amp; ").","Complétez conformément toutes les données nécessaires des onglets précédents afin de pouvoir éditer l'ensemble des éléments du rapport")</f>
        <v>Les trois postes de dépenses ayant le plus évolué sont : 
1) Charges de personnel (+0,0%), 
2) Charges de personnel (+0,0%), 
3) Charges de personnel (+0,0%).</v>
      </c>
      <c r="B40" s="550"/>
      <c r="C40" s="550"/>
      <c r="D40" s="551"/>
      <c r="E40" s="143"/>
    </row>
    <row r="41" spans="1:10" ht="75" customHeight="1" x14ac:dyDescent="0.45">
      <c r="A41" s="549" t="str">
        <f>IFERROR("Les trois postes de recettes ayant le plus évolué sont : 
1) " &amp; INDEX('2-Section de Fonctionnement'!A11:A26,MATCH(LARGE('2-Section de Fonctionnement'!Q30:Q44,1),'2-Section de Fonctionnement'!Q30:Q44,0)) &amp; " (+" &amp; TEXT(LARGE('2-Section de Fonctionnement'!Q30:Q44,1),"0,0%") &amp; "), 
2) " &amp; INDEX('2-Section de Fonctionnement'!A11:A26,MATCH(LARGE('2-Section de Fonctionnement'!Q30:Q44,2),'2-Section de Fonctionnement'!Q30:Q44,0)) &amp; " (+" &amp; TEXT(LARGE('2-Section de Fonctionnement'!Q30:Q44,2),"0,0%") &amp; "), 
3) " &amp; INDEX('2-Section de Fonctionnement'!A11:A26,MATCH(LARGE('2-Section de Fonctionnement'!Q30:Q44,3),'2-Section de Fonctionnement'!Q30:Q44,0)) &amp; " (+" &amp; TEXT(LARGE('2-Section de Fonctionnement'!Q30:Q44,3),"0,0%") &amp; ").","Complétez conformément toutes les données nécessaires des onglets précédents afin de pouvoir éditer l'ensemble des éléments du rapport")</f>
        <v>Les trois postes de recettes ayant le plus évolué sont : 
1) Charges de personnel (+0,0%), 
2) Charges de personnel (+0,0%), 
3) Charges de personnel (+0,0%).</v>
      </c>
      <c r="B41" s="550"/>
      <c r="C41" s="550"/>
      <c r="D41" s="551"/>
    </row>
    <row r="42" spans="1:10" ht="18.649999999999999" customHeight="1" thickBot="1" x14ac:dyDescent="0.5">
      <c r="A42" s="202"/>
      <c r="B42" s="336"/>
      <c r="C42" s="336"/>
      <c r="D42" s="203"/>
    </row>
    <row r="43" spans="1:10" ht="16.5" customHeight="1" x14ac:dyDescent="0.45">
      <c r="A43" s="555" t="s">
        <v>91</v>
      </c>
      <c r="B43" s="556"/>
      <c r="C43" s="556"/>
      <c r="D43" s="557"/>
    </row>
    <row r="44" spans="1:10" x14ac:dyDescent="0.45">
      <c r="A44" s="549">
        <f>IFERROR("Les dépenses d'investissement s'élèvent à " &amp;TEXT(INDEX('4-Section d''Investissement'!B56:L56,MATCH(A29,'4-Section d''Investissement'!B14:L14,0))-INDEX('4-Section d''Investissement'!B56:L56,MATCH(B29-1,'4-Section d''Investissement'!B14:L14,0)),"# ##0") &amp;B3 &amp;" sur la période.",'4-Section d''Investissement'!B56)</f>
        <v>0</v>
      </c>
      <c r="B44" s="550"/>
      <c r="C44" s="550"/>
      <c r="D44" s="551"/>
    </row>
    <row r="45" spans="1:10" ht="52.5" customHeight="1" x14ac:dyDescent="0.45">
      <c r="A45" s="549" t="str" cm="1">
        <f t="array" ref="A45">IFERROR("L'encours de dette est de "&amp;TEXT(INDEX('4-Section d''Investissement'!B52:L52,MATCH(A29,'4-Section d''Investissement'!B14:L14,0)),"# ##0")&amp;B3&amp;". "&amp;_xlfn.IFS(INDEX('4-Section d''Investissement'!B52:L52,MATCH(A29,'4-Section d''Investissement'!B14:L14,0))-INDEX('4-Section d''Investissement'!B52:L52,MATCH(B29,'4-Section d''Investissement'!B14:L14,0))&gt;0,"Sur la période d'étude, Il a augmenté de ",INDEX('4-Section d''Investissement'!B52:L52,MATCH(A29,'4-Section d''Investissement'!B14:L14,0))-INDEX('4-Section d''Investissement'!B52:L52,MATCH(B29,'4-Section d''Investissement'!B14:L14,0))&lt;0, "Il a diminué de ") &amp;B30 &amp;B3&amp;". "&amp;"Ainsi la Commune mettrait "&amp;TEXT(INDEX('4-Section d''Investissement'!G55:L55,MATCH(A29,'4-Section d''Investissement'!G14:L14,0)),"0,0") &amp;" années à rembourser sa dette si elle y conscrait la totalité de son autofinancement (capacité dynamqiue de désendettement)"&amp;". "&amp;_xlfn.IFS(INDEX('4-Section d''Investissement'!G55:L55,MATCH(A29,'4-Section d''Investissement'!G14:L14,0))&lt;0,"La commune n'est pas en mesure de rembourser sa dette car sa marge de fonctionnement est négative",INDEX('4-Section d''Investissement'!G55:L55,MATCH(A29,'4-Section d''Investissement'!G14:L14,0))&lt;5,"Il s'agit d'une situation très satisfaisante", INDEX('4-Section d''Investissement'!G55:L55,MATCH(A29,'4-Section d''Investissement'!G14:L14,0))&lt;8,"Il s'agit d'une situation satisfaisante", INDEX('4-Section d''Investissement'!G55:L55,MATCH(A29,'4-Section d''Investissement'!G14:L14,0))&lt;12,"Il s'agit d'une situation qui nécessite une vigilance particulière" ) &amp;".","Complétez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45" s="550"/>
      <c r="C45" s="550"/>
      <c r="D45" s="551"/>
      <c r="E45" s="189"/>
    </row>
    <row r="46" spans="1:10" ht="24.75" customHeight="1" x14ac:dyDescent="0.45">
      <c r="A46" s="549" t="str">
        <f>"Le seuil de vigilance est de 8 années et le seuil de dangerosité est de 12 années."</f>
        <v>Le seuil de vigilance est de 8 années et le seuil de dangerosité est de 12 années.</v>
      </c>
      <c r="B46" s="550"/>
      <c r="C46" s="550"/>
      <c r="D46" s="551"/>
    </row>
    <row r="47" spans="1:10" ht="17.25" customHeight="1" x14ac:dyDescent="0.45">
      <c r="A47" s="549" t="str">
        <f>IFERROR("L'encours de dette par habitant simulé sera de " &amp;TEXT(INDEX('4-Section d''Investissement'!B54:L54,MATCH(A29,'4-Section d''Investissement'!B14:L14,0)),"# ##0") &amp;B3 &amp;" au 31/12/" &amp;A29 &amp;".","Complétez conformément toutes les données nécessaires des onglets précédents afin de pouvoir éditer l'ensemble des éléments du rapport")</f>
        <v>L'encours de dette par habitant simulé sera de A saisirK€ au 31/12/0.</v>
      </c>
      <c r="B47" s="550"/>
      <c r="C47" s="550"/>
      <c r="D47" s="551"/>
    </row>
    <row r="48" spans="1:10" ht="71.25" customHeight="1" thickBot="1" x14ac:dyDescent="0.5">
      <c r="A48" s="552" t="str" cm="1">
        <f t="array" ref="A48">IFERROR("A la cloture de la période, la collectivité disposera d'un fonds de roulement de " &amp;TEXT(INDEX('4-Section d''Investissement'!G49:L49,MATCH(A29,'4-Section d''Investissement'!G14:L14,0)),"# ##0") &amp;B3 &amp;". " &amp;_xlfn.IFS(INDEX('4-Section d''Investissement'!G49:L49,MATCH(A29,'4-Section d''Investissement'!G14:L14,0))&gt;INDEX('2-Section de Fonctionnement'!B10:M10,MATCH(A29,'2-Section de Fonctionnement'!B9:M9,0))/2,"La collecitvité disposera d'un fonds de roulement confortable lui permettant à faire face à au moins l'équivalent de 6 mois de dépenses de fonctionnement",INDEX('4-Section d''Investissement'!G49:L49,MATCH(A29,'4-Section d''Investissement'!G14:L14,0))&gt;INDEX('2-Section de Fonctionnement'!B10:M10,MATCH(A29,'2-Section de Fonctionnement'!B9:M9,0)), "Le fonds de roulement sera conséquent car il équivaut à une année entière de dépenses de fonctionnement", INDEX('4-Section d''Investissement'!G49:L49,MATCH(A29,'4-Section d''Investissement'!G14:L14,0))&gt;INDEX('2-Section de Fonctionnement'!B10:M10,MATCH(A29,'2-Section de Fonctionnement'!B9:M9,0))/3, "le fonds de roulement permetra de financer au mois de 4 mois de dépenses de fonctionnement de l'année. C'est une situation conforme mais peu confortable", INDEX('4-Section d''Investissement'!G49:L49,MATCH(A29,'4-Section d''Investissement'!G14:L14,0))&lt;0, "Le fonds de roulement sera négatif, illustrant une situation périlleuse nécessitant une vigilance sur la trésorerie et le recours à un financement externe",INDEX('4-Section d''Investissement'!G49:L49,MATCH(A29,'4-Section d''Investissement'!G14:L14,0))&gt;0,"Le fonds de roulement ne représentera que quelques mois de dépenses de fonctionnement. La situation ne sera pas confortable et devra faire l'objet d'un suivi régulier") &amp;".","Complétez conformément toutes les données nécessaires des onglets précédents afin de pouvoir éditer l'ensemble des éléments du rapport")</f>
        <v>Complétez conformément toutes les données nécessaires des onglets précédents afin de pouvoir éditer l'ensemble des éléments du rapport</v>
      </c>
      <c r="B48" s="553"/>
      <c r="C48" s="553"/>
      <c r="D48" s="554"/>
    </row>
    <row r="49" spans="1:4" ht="48" customHeight="1" x14ac:dyDescent="0.45">
      <c r="A49" s="588" t="s">
        <v>115</v>
      </c>
      <c r="B49" s="589"/>
      <c r="C49" s="589"/>
      <c r="D49" s="590"/>
    </row>
    <row r="50" spans="1:4" ht="84.75" customHeight="1" thickBot="1" x14ac:dyDescent="0.5">
      <c r="A50" s="585" t="s">
        <v>116</v>
      </c>
      <c r="B50" s="586"/>
      <c r="C50" s="586"/>
      <c r="D50" s="587"/>
    </row>
  </sheetData>
  <sheetProtection algorithmName="SHA-512" hashValue="ew9+qbROUYaJTTe6e5/JYxd5CQum0A5fgvkHcRP2rbbdaOzMXYl4B2Av7XJjRtmuCrTmkwqCXw5uqgEqqdyNJA==" saltValue="CV3gWRFyAg3xw88ZUeACqw==" spinCount="100000" sheet="1" objects="1" scenarios="1" insertRows="0"/>
  <mergeCells count="42">
    <mergeCell ref="A50:D50"/>
    <mergeCell ref="A26:D26"/>
    <mergeCell ref="A27:D27"/>
    <mergeCell ref="A49:D49"/>
    <mergeCell ref="A1:D1"/>
    <mergeCell ref="A16:D16"/>
    <mergeCell ref="A14:D14"/>
    <mergeCell ref="A20:D20"/>
    <mergeCell ref="A12:D12"/>
    <mergeCell ref="A9:D9"/>
    <mergeCell ref="A10:D10"/>
    <mergeCell ref="A6:D6"/>
    <mergeCell ref="A15:D15"/>
    <mergeCell ref="A24:D24"/>
    <mergeCell ref="A7:D7"/>
    <mergeCell ref="A28:D28"/>
    <mergeCell ref="A39:D39"/>
    <mergeCell ref="A11:D11"/>
    <mergeCell ref="A22:D22"/>
    <mergeCell ref="A13:D13"/>
    <mergeCell ref="A32:D32"/>
    <mergeCell ref="A34:D34"/>
    <mergeCell ref="A33:D33"/>
    <mergeCell ref="A36:D36"/>
    <mergeCell ref="A38:D38"/>
    <mergeCell ref="A37:D37"/>
    <mergeCell ref="A35:D35"/>
    <mergeCell ref="A8:D8"/>
    <mergeCell ref="A17:D17"/>
    <mergeCell ref="A21:D21"/>
    <mergeCell ref="A23:D23"/>
    <mergeCell ref="A25:D25"/>
    <mergeCell ref="A19:D19"/>
    <mergeCell ref="A18:D18"/>
    <mergeCell ref="A40:D40"/>
    <mergeCell ref="A48:D48"/>
    <mergeCell ref="A41:D41"/>
    <mergeCell ref="A45:D45"/>
    <mergeCell ref="A43:D43"/>
    <mergeCell ref="A44:D44"/>
    <mergeCell ref="A46:D46"/>
    <mergeCell ref="A47:D47"/>
  </mergeCells>
  <pageMargins left="0.25" right="0.25" top="0.75" bottom="0.75" header="0.3" footer="0.3"/>
  <pageSetup paperSize="9" orientation="portrait" r:id="rId1"/>
  <headerFooter>
    <oddHeader xml:space="preserve">&amp;LElanVision : outil proposé par ElanRural.fr </oddHeader>
  </headerFooter>
  <rowBreaks count="3" manualBreakCount="3">
    <brk id="19" max="3" man="1"/>
    <brk id="30" max="16383" man="1"/>
    <brk id="4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1-Informations-paramètres </vt:lpstr>
      <vt:lpstr>2-Section de Fonctionnement</vt:lpstr>
      <vt:lpstr>3-Variations du fonctionnement</vt:lpstr>
      <vt:lpstr>4-Section d'Investissement</vt:lpstr>
      <vt:lpstr>5-Recours à la dette </vt:lpstr>
      <vt:lpstr>6-Synthèse</vt:lpstr>
      <vt:lpstr>Scénario_Evolution</vt:lpstr>
      <vt:lpstr>'1-Informations-paramètres '!Zone_d_impression</vt:lpstr>
      <vt:lpstr>'3-Variations du fonctionnement'!Zone_d_impression</vt:lpstr>
      <vt:lpstr>'5-Recours à la dette '!Zone_d_impression</vt:lpstr>
      <vt:lpstr>'6-Synthèse'!Zone_d_impression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ElanRural_Johann Le Mons</dc:creator>
  <cp:keywords/>
  <dc:description/>
  <cp:lastModifiedBy>johann Le mons</cp:lastModifiedBy>
  <cp:revision/>
  <cp:lastPrinted>2025-06-07T16:18:37Z</cp:lastPrinted>
  <dcterms:created xsi:type="dcterms:W3CDTF">2024-09-15T15:19:15Z</dcterms:created>
  <dcterms:modified xsi:type="dcterms:W3CDTF">2025-06-21T15:58:58Z</dcterms:modified>
  <cp:category/>
  <cp:contentStatus/>
</cp:coreProperties>
</file>